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T:\GOC\______2022\2022_Proposta Orçamentária para 2023\Proposta Orçamentária 2023\"/>
    </mc:Choice>
  </mc:AlternateContent>
  <xr:revisionPtr revIDLastSave="0" documentId="8_{7A208732-23E9-487F-8AE1-CEE8F8B51551}" xr6:coauthVersionLast="47" xr6:coauthVersionMax="47" xr10:uidLastSave="{00000000-0000-0000-0000-000000000000}"/>
  <bookViews>
    <workbookView xWindow="-28920" yWindow="-210" windowWidth="29040" windowHeight="15840" tabRatio="827" xr2:uid="{00000000-000D-0000-FFFF-FFFF00000000}"/>
  </bookViews>
  <sheets>
    <sheet name="Dados" sheetId="160" r:id="rId1"/>
    <sheet name="Anexo II - Receitas Analíticas" sheetId="137" r:id="rId2"/>
    <sheet name="Anexo III - Receitas Sintéticas" sheetId="138" r:id="rId3"/>
    <sheet name="Anexo IV - Despesas Analíticas" sheetId="164" r:id="rId4"/>
    <sheet name="Anexo V - Despesas Sintéticas" sheetId="165" r:id="rId5"/>
    <sheet name="Anexo VI - Rec Desp Sintéticas" sheetId="166" r:id="rId6"/>
  </sheets>
  <externalReferences>
    <externalReference r:id="rId7"/>
  </externalReferences>
  <definedNames>
    <definedName name="_xlnm._FilterDatabase" localSheetId="0" hidden="1">Dados!$A$3:$P$1051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_xlnm.Print_Area" localSheetId="1">'Anexo II - Receitas Analíticas'!$A$1:$G$100</definedName>
    <definedName name="_xlnm.Print_Area" localSheetId="5">'Anexo VI - Rec Desp Sintéticas'!$A$1:$F$59</definedName>
    <definedName name="BBB" localSheetId="3">#REF!</definedName>
    <definedName name="BBB" localSheetId="4">#REF!</definedName>
    <definedName name="BBB" localSheetId="5">#REF!</definedName>
    <definedName name="BBB">#REF!</definedName>
    <definedName name="CPAT" localSheetId="3">#REF!</definedName>
    <definedName name="CPAT" localSheetId="4">#REF!</definedName>
    <definedName name="CPAT" localSheetId="5">#REF!</definedName>
    <definedName name="CPAT">#REF!</definedName>
    <definedName name="DIÁRIAS" localSheetId="3">#REF!</definedName>
    <definedName name="DIÁRIAS" localSheetId="4">#REF!</definedName>
    <definedName name="DIÁRIAS" localSheetId="5">#REF!</definedName>
    <definedName name="DIÁRIAS">#REF!</definedName>
    <definedName name="Excel_BuiltIn_Print_Area_1_1" localSheetId="3">#REF!</definedName>
    <definedName name="Excel_BuiltIn_Print_Area_1_1" localSheetId="4">#REF!</definedName>
    <definedName name="Excel_BuiltIn_Print_Area_1_1" localSheetId="5">#REF!</definedName>
    <definedName name="Excel_BuiltIn_Print_Area_1_1">#REF!</definedName>
    <definedName name="Excel_BuiltIn_Print_Area_10" localSheetId="3">#REF!</definedName>
    <definedName name="Excel_BuiltIn_Print_Area_10" localSheetId="4">#REF!</definedName>
    <definedName name="Excel_BuiltIn_Print_Area_10" localSheetId="5">#REF!</definedName>
    <definedName name="Excel_BuiltIn_Print_Area_10">#REF!</definedName>
    <definedName name="Excel_BuiltIn_Print_Area_2_1">'Anexo II - Receitas Analíticas'!$A$6:$G$94</definedName>
    <definedName name="Excel_BuiltIn_Print_Area_6_1" localSheetId="5">'Anexo VI - Rec Desp Sintéticas'!$A$9:$F$60</definedName>
    <definedName name="Excel_BuiltIn_Print_Area_6_1">#REF!</definedName>
    <definedName name="Excel_BuiltIn_Print_Area_7" localSheetId="3">#REF!</definedName>
    <definedName name="Excel_BuiltIn_Print_Area_7" localSheetId="4">#REF!</definedName>
    <definedName name="Excel_BuiltIn_Print_Area_7" localSheetId="5">#REF!</definedName>
    <definedName name="Excel_BuiltIn_Print_Area_7">#REF!</definedName>
    <definedName name="Excel_BuiltIn_Print_Titles_10" localSheetId="3">#REF!</definedName>
    <definedName name="Excel_BuiltIn_Print_Titles_10" localSheetId="4">#REF!</definedName>
    <definedName name="Excel_BuiltIn_Print_Titles_10" localSheetId="5">#REF!</definedName>
    <definedName name="Excel_BuiltIn_Print_Titles_10">#REF!</definedName>
    <definedName name="Excel_BuiltIn_Print_Titles_4_1" localSheetId="3">'Anexo IV - Despesas Analíticas'!$K$9:$IP$9</definedName>
    <definedName name="Excel_BuiltIn_Print_Titles_4_1">#REF!</definedName>
    <definedName name="SEILA" localSheetId="3">#REF!</definedName>
    <definedName name="SEILA" localSheetId="4">#REF!</definedName>
    <definedName name="SEILA" localSheetId="5">#REF!</definedName>
    <definedName name="SEILA">#REF!</definedName>
    <definedName name="seila1" localSheetId="3">#REF!</definedName>
    <definedName name="seila1" localSheetId="4">#REF!</definedName>
    <definedName name="seila1" localSheetId="5">#REF!</definedName>
    <definedName name="seila1">#REF!</definedName>
    <definedName name="SEIONDE" localSheetId="3">#REF!</definedName>
    <definedName name="SEIONDE" localSheetId="4">#REF!</definedName>
    <definedName name="SEIONDE" localSheetId="5">#REF!</definedName>
    <definedName name="SEIONDE">#REF!</definedName>
    <definedName name="SISCONTNET" localSheetId="3">#REF!</definedName>
    <definedName name="SISCONTNET" localSheetId="4">#REF!</definedName>
    <definedName name="SISCONTNET" localSheetId="5">#REF!</definedName>
    <definedName name="SISCONTNET">#REF!</definedName>
    <definedName name="_xlnm.Print_Titles" localSheetId="1">'Anexo II - Receitas Analíticas'!$1:$9</definedName>
    <definedName name="_xlnm.Print_Titles" localSheetId="3">'Anexo IV - Despesas Analíticas'!$1:$9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66" l="1"/>
  <c r="F52" i="165"/>
  <c r="S57" i="165"/>
  <c r="S48" i="165"/>
  <c r="S32" i="165"/>
  <c r="S31" i="165"/>
  <c r="S30" i="165"/>
  <c r="S29" i="165"/>
  <c r="R57" i="165"/>
  <c r="R48" i="165"/>
  <c r="R32" i="165"/>
  <c r="R31" i="165"/>
  <c r="R30" i="165"/>
  <c r="R29" i="165"/>
  <c r="Q57" i="165"/>
  <c r="Q48" i="165"/>
  <c r="Q32" i="165"/>
  <c r="Q31" i="165"/>
  <c r="Q30" i="165"/>
  <c r="Q29" i="165"/>
  <c r="P29" i="165"/>
  <c r="P30" i="165"/>
  <c r="P31" i="165"/>
  <c r="P32" i="165"/>
  <c r="P48" i="165"/>
  <c r="P57" i="165"/>
  <c r="F20" i="165"/>
  <c r="E20" i="165"/>
  <c r="J57" i="165"/>
  <c r="J56" i="165" s="1"/>
  <c r="J48" i="165"/>
  <c r="J47" i="165" s="1"/>
  <c r="J43" i="165"/>
  <c r="J42" i="165"/>
  <c r="J41" i="165"/>
  <c r="J40" i="165"/>
  <c r="J39" i="165"/>
  <c r="J38" i="165"/>
  <c r="J35" i="165"/>
  <c r="J34" i="165"/>
  <c r="J32" i="165"/>
  <c r="J31" i="165"/>
  <c r="J30" i="165"/>
  <c r="S68" i="164"/>
  <c r="S23" i="165" s="1"/>
  <c r="E52" i="164"/>
  <c r="F52" i="164"/>
  <c r="H52" i="164" s="1"/>
  <c r="O138" i="164"/>
  <c r="J28" i="165" l="1"/>
  <c r="J177" i="164" l="1"/>
  <c r="J176" i="164" s="1"/>
  <c r="J175" i="164"/>
  <c r="J174" i="164" s="1"/>
  <c r="J173" i="164"/>
  <c r="J172" i="164"/>
  <c r="J171" i="164"/>
  <c r="J168" i="164"/>
  <c r="J167" i="164" s="1"/>
  <c r="J166" i="164"/>
  <c r="J165" i="164" s="1"/>
  <c r="J164" i="164"/>
  <c r="J163" i="164"/>
  <c r="J162" i="164"/>
  <c r="J159" i="164"/>
  <c r="J156" i="164"/>
  <c r="J155" i="164" s="1"/>
  <c r="J53" i="165" s="1"/>
  <c r="J145" i="164"/>
  <c r="J52" i="165" s="1"/>
  <c r="J142" i="164"/>
  <c r="J51" i="165" s="1"/>
  <c r="J138" i="164"/>
  <c r="J130" i="164"/>
  <c r="J126" i="164"/>
  <c r="J121" i="164"/>
  <c r="J117" i="164"/>
  <c r="J76" i="164"/>
  <c r="J25" i="165" s="1"/>
  <c r="J72" i="164"/>
  <c r="J24" i="165" s="1"/>
  <c r="J68" i="164"/>
  <c r="J23" i="165" s="1"/>
  <c r="J64" i="164"/>
  <c r="J22" i="165" s="1"/>
  <c r="J60" i="164"/>
  <c r="J21" i="165" s="1"/>
  <c r="J58" i="164"/>
  <c r="J20" i="165" s="1"/>
  <c r="J56" i="164"/>
  <c r="J19" i="165" s="1"/>
  <c r="J47" i="164"/>
  <c r="J18" i="165" s="1"/>
  <c r="J41" i="164"/>
  <c r="J16" i="165" s="1"/>
  <c r="J34" i="164"/>
  <c r="J15" i="165" s="1"/>
  <c r="J29" i="164"/>
  <c r="J13" i="165" s="1"/>
  <c r="J13" i="164"/>
  <c r="J12" i="165" s="1"/>
  <c r="F59" i="164"/>
  <c r="H59" i="164" s="1"/>
  <c r="E59" i="164"/>
  <c r="S58" i="164"/>
  <c r="S20" i="165" s="1"/>
  <c r="R58" i="164"/>
  <c r="R20" i="165" s="1"/>
  <c r="Q58" i="164"/>
  <c r="Q20" i="165" s="1"/>
  <c r="P58" i="164"/>
  <c r="P20" i="165" s="1"/>
  <c r="O58" i="164"/>
  <c r="O20" i="165" s="1"/>
  <c r="N58" i="164"/>
  <c r="N20" i="165" s="1"/>
  <c r="M58" i="164"/>
  <c r="M20" i="165" s="1"/>
  <c r="L58" i="164"/>
  <c r="L20" i="165" s="1"/>
  <c r="K58" i="164"/>
  <c r="K20" i="165" s="1"/>
  <c r="I58" i="164"/>
  <c r="I20" i="165" s="1"/>
  <c r="D58" i="164"/>
  <c r="C58" i="164"/>
  <c r="F136" i="164"/>
  <c r="H136" i="164" s="1"/>
  <c r="F62" i="164"/>
  <c r="H62" i="164" s="1"/>
  <c r="E62" i="164"/>
  <c r="G35" i="138"/>
  <c r="C30" i="166" s="1"/>
  <c r="F35" i="138"/>
  <c r="E35" i="138"/>
  <c r="E88" i="137"/>
  <c r="J50" i="165" l="1"/>
  <c r="I35" i="138"/>
  <c r="J11" i="165"/>
  <c r="J129" i="164"/>
  <c r="J36" i="165" s="1"/>
  <c r="J46" i="165"/>
  <c r="J45" i="165" s="1"/>
  <c r="J37" i="165"/>
  <c r="G20" i="165"/>
  <c r="H20" i="165" s="1"/>
  <c r="J17" i="165"/>
  <c r="J14" i="165" s="1"/>
  <c r="J116" i="164"/>
  <c r="J27" i="165"/>
  <c r="J26" i="165" s="1"/>
  <c r="J33" i="165"/>
  <c r="J44" i="165"/>
  <c r="J12" i="164"/>
  <c r="J141" i="164"/>
  <c r="J46" i="164"/>
  <c r="J33" i="164" s="1"/>
  <c r="J170" i="164"/>
  <c r="J169" i="164" s="1"/>
  <c r="J55" i="165" s="1"/>
  <c r="J161" i="164"/>
  <c r="J157" i="164" s="1"/>
  <c r="J54" i="165" s="1"/>
  <c r="F58" i="164"/>
  <c r="H58" i="164" s="1"/>
  <c r="E58" i="164"/>
  <c r="M924" i="160"/>
  <c r="L7" i="160"/>
  <c r="L9" i="160"/>
  <c r="L8" i="160"/>
  <c r="L6" i="160"/>
  <c r="L13" i="160"/>
  <c r="L5" i="160"/>
  <c r="L4" i="160"/>
  <c r="L10" i="160"/>
  <c r="L12" i="160"/>
  <c r="L11" i="160"/>
  <c r="J10" i="165" l="1"/>
  <c r="J49" i="165"/>
  <c r="J11" i="164"/>
  <c r="J140" i="164"/>
  <c r="J58" i="165" l="1"/>
  <c r="J10" i="164"/>
  <c r="L1029" i="160" l="1"/>
  <c r="L859" i="160" l="1"/>
  <c r="L857" i="160"/>
  <c r="L853" i="160"/>
  <c r="L973" i="160"/>
  <c r="L972" i="160"/>
  <c r="L970" i="160"/>
  <c r="L969" i="160"/>
  <c r="L672" i="160"/>
  <c r="L670" i="160"/>
  <c r="L668" i="160"/>
  <c r="L666" i="160"/>
  <c r="L717" i="160"/>
  <c r="L716" i="160"/>
  <c r="L714" i="160"/>
  <c r="L713" i="160"/>
  <c r="L414" i="160"/>
  <c r="L413" i="160"/>
  <c r="L411" i="160"/>
  <c r="L410" i="160"/>
  <c r="L369" i="160"/>
  <c r="L367" i="160"/>
  <c r="L365" i="160"/>
  <c r="L363" i="160"/>
  <c r="L968" i="160"/>
  <c r="L851" i="160"/>
  <c r="L712" i="160"/>
  <c r="L664" i="160"/>
  <c r="L409" i="160"/>
  <c r="L361" i="160"/>
  <c r="L758" i="160" l="1"/>
  <c r="L924" i="160" l="1"/>
  <c r="L589" i="160"/>
  <c r="L466" i="160"/>
  <c r="L314" i="160"/>
  <c r="M589" i="160"/>
  <c r="M466" i="160"/>
  <c r="M314" i="160"/>
  <c r="L446" i="160"/>
  <c r="L896" i="160"/>
  <c r="L595" i="160"/>
  <c r="L286" i="160"/>
  <c r="L287" i="160"/>
  <c r="L596" i="160"/>
  <c r="L447" i="160"/>
  <c r="L897" i="160"/>
  <c r="L917" i="160"/>
  <c r="L615" i="160"/>
  <c r="L307" i="160"/>
  <c r="L495" i="160"/>
  <c r="L587" i="160"/>
  <c r="L548" i="160"/>
  <c r="L762" i="160" l="1"/>
  <c r="S56" i="165" l="1"/>
  <c r="R56" i="165"/>
  <c r="Q56" i="165"/>
  <c r="P56" i="165"/>
  <c r="O57" i="165"/>
  <c r="O56" i="165" s="1"/>
  <c r="N57" i="165"/>
  <c r="N56" i="165" s="1"/>
  <c r="M57" i="165"/>
  <c r="M56" i="165" s="1"/>
  <c r="L57" i="165"/>
  <c r="L56" i="165" s="1"/>
  <c r="K57" i="165"/>
  <c r="K56" i="165" s="1"/>
  <c r="S47" i="165"/>
  <c r="R47" i="165"/>
  <c r="Q47" i="165"/>
  <c r="P47" i="165"/>
  <c r="O48" i="165"/>
  <c r="O47" i="165" s="1"/>
  <c r="N48" i="165"/>
  <c r="N47" i="165" s="1"/>
  <c r="M48" i="165"/>
  <c r="M47" i="165" s="1"/>
  <c r="L48" i="165"/>
  <c r="L47" i="165" s="1"/>
  <c r="K48" i="165"/>
  <c r="K47" i="165" s="1"/>
  <c r="S43" i="165"/>
  <c r="R43" i="165"/>
  <c r="Q43" i="165"/>
  <c r="P43" i="165"/>
  <c r="O43" i="165"/>
  <c r="N43" i="165"/>
  <c r="M43" i="165"/>
  <c r="L43" i="165"/>
  <c r="K43" i="165"/>
  <c r="S42" i="165"/>
  <c r="R42" i="165"/>
  <c r="Q42" i="165"/>
  <c r="P42" i="165"/>
  <c r="O42" i="165"/>
  <c r="N42" i="165"/>
  <c r="M42" i="165"/>
  <c r="L42" i="165"/>
  <c r="K42" i="165"/>
  <c r="S41" i="165"/>
  <c r="R41" i="165"/>
  <c r="Q41" i="165"/>
  <c r="P41" i="165"/>
  <c r="O41" i="165"/>
  <c r="N41" i="165"/>
  <c r="M41" i="165"/>
  <c r="L41" i="165"/>
  <c r="K41" i="165"/>
  <c r="S40" i="165"/>
  <c r="R40" i="165"/>
  <c r="Q40" i="165"/>
  <c r="P40" i="165"/>
  <c r="O40" i="165"/>
  <c r="N40" i="165"/>
  <c r="M40" i="165"/>
  <c r="L40" i="165"/>
  <c r="K40" i="165"/>
  <c r="S39" i="165"/>
  <c r="R39" i="165"/>
  <c r="Q39" i="165"/>
  <c r="P39" i="165"/>
  <c r="O39" i="165"/>
  <c r="N39" i="165"/>
  <c r="M39" i="165"/>
  <c r="L39" i="165"/>
  <c r="K39" i="165"/>
  <c r="S38" i="165"/>
  <c r="R38" i="165"/>
  <c r="Q38" i="165"/>
  <c r="P38" i="165"/>
  <c r="O38" i="165"/>
  <c r="N38" i="165"/>
  <c r="M38" i="165"/>
  <c r="L38" i="165"/>
  <c r="K38" i="165"/>
  <c r="S35" i="165"/>
  <c r="R35" i="165"/>
  <c r="Q35" i="165"/>
  <c r="P35" i="165"/>
  <c r="O35" i="165"/>
  <c r="N35" i="165"/>
  <c r="M35" i="165"/>
  <c r="L35" i="165"/>
  <c r="K35" i="165"/>
  <c r="S34" i="165"/>
  <c r="R34" i="165"/>
  <c r="Q34" i="165"/>
  <c r="P34" i="165"/>
  <c r="O34" i="165"/>
  <c r="N34" i="165"/>
  <c r="M34" i="165"/>
  <c r="L34" i="165"/>
  <c r="K34" i="165"/>
  <c r="O32" i="165"/>
  <c r="N32" i="165"/>
  <c r="M32" i="165"/>
  <c r="L32" i="165"/>
  <c r="K32" i="165"/>
  <c r="O31" i="165"/>
  <c r="N31" i="165"/>
  <c r="M31" i="165"/>
  <c r="L31" i="165"/>
  <c r="K31" i="165"/>
  <c r="O30" i="165"/>
  <c r="N30" i="165"/>
  <c r="M30" i="165"/>
  <c r="L30" i="165"/>
  <c r="K30" i="165"/>
  <c r="O29" i="165"/>
  <c r="N29" i="165"/>
  <c r="M29" i="165"/>
  <c r="L29" i="165"/>
  <c r="K29" i="165"/>
  <c r="I57" i="165"/>
  <c r="I48" i="165"/>
  <c r="I30" i="165"/>
  <c r="I31" i="165"/>
  <c r="I32" i="165"/>
  <c r="I34" i="165"/>
  <c r="I35" i="165"/>
  <c r="I38" i="165"/>
  <c r="I39" i="165"/>
  <c r="I40" i="165"/>
  <c r="I41" i="165"/>
  <c r="I42" i="165"/>
  <c r="I43" i="165"/>
  <c r="I29" i="165"/>
  <c r="F57" i="165"/>
  <c r="F56" i="165" s="1"/>
  <c r="F48" i="165"/>
  <c r="F47" i="165" s="1"/>
  <c r="F32" i="165"/>
  <c r="F31" i="165"/>
  <c r="F30" i="165"/>
  <c r="F29" i="165"/>
  <c r="E57" i="165"/>
  <c r="E56" i="165" s="1"/>
  <c r="E47" i="165"/>
  <c r="E31" i="165"/>
  <c r="E32" i="165"/>
  <c r="E30" i="165"/>
  <c r="E29" i="165"/>
  <c r="C47" i="165"/>
  <c r="C26" i="165"/>
  <c r="C17" i="165"/>
  <c r="C14" i="165" s="1"/>
  <c r="F98" i="164"/>
  <c r="H98" i="164" s="1"/>
  <c r="F30" i="164"/>
  <c r="H30" i="164" s="1"/>
  <c r="F37" i="164"/>
  <c r="H37" i="164" s="1"/>
  <c r="Q29" i="164"/>
  <c r="Q13" i="165" s="1"/>
  <c r="F16" i="164"/>
  <c r="H16" i="164" s="1"/>
  <c r="F178" i="164"/>
  <c r="H178" i="164" s="1"/>
  <c r="F160" i="164"/>
  <c r="H160" i="164" s="1"/>
  <c r="F158" i="164"/>
  <c r="H158" i="164" s="1"/>
  <c r="F154" i="164"/>
  <c r="H154" i="164" s="1"/>
  <c r="F153" i="164"/>
  <c r="H153" i="164" s="1"/>
  <c r="F152" i="164"/>
  <c r="H152" i="164" s="1"/>
  <c r="F151" i="164"/>
  <c r="H151" i="164" s="1"/>
  <c r="F150" i="164"/>
  <c r="H150" i="164" s="1"/>
  <c r="F149" i="164"/>
  <c r="H149" i="164" s="1"/>
  <c r="F148" i="164"/>
  <c r="H148" i="164" s="1"/>
  <c r="F147" i="164"/>
  <c r="H147" i="164" s="1"/>
  <c r="F146" i="164"/>
  <c r="H146" i="164" s="1"/>
  <c r="F144" i="164"/>
  <c r="H144" i="164" s="1"/>
  <c r="F143" i="164"/>
  <c r="H143" i="164" s="1"/>
  <c r="F139" i="164"/>
  <c r="H139" i="164" s="1"/>
  <c r="F137" i="164"/>
  <c r="H137" i="164" s="1"/>
  <c r="F135" i="164"/>
  <c r="H135" i="164" s="1"/>
  <c r="F134" i="164"/>
  <c r="H134" i="164" s="1"/>
  <c r="F133" i="164"/>
  <c r="H133" i="164" s="1"/>
  <c r="F132" i="164"/>
  <c r="H132" i="164" s="1"/>
  <c r="F131" i="164"/>
  <c r="H131" i="164" s="1"/>
  <c r="F128" i="164"/>
  <c r="H128" i="164" s="1"/>
  <c r="F127" i="164"/>
  <c r="H127" i="164" s="1"/>
  <c r="F125" i="164"/>
  <c r="H125" i="164" s="1"/>
  <c r="F124" i="164"/>
  <c r="H124" i="164" s="1"/>
  <c r="F123" i="164"/>
  <c r="H123" i="164" s="1"/>
  <c r="F122" i="164"/>
  <c r="H122" i="164" s="1"/>
  <c r="F120" i="164"/>
  <c r="H120" i="164" s="1"/>
  <c r="F119" i="164"/>
  <c r="H119" i="164" s="1"/>
  <c r="F118" i="164"/>
  <c r="H118" i="164" s="1"/>
  <c r="F115" i="164"/>
  <c r="H115" i="164" s="1"/>
  <c r="F114" i="164"/>
  <c r="H114" i="164" s="1"/>
  <c r="F113" i="164"/>
  <c r="H113" i="164" s="1"/>
  <c r="F112" i="164"/>
  <c r="H112" i="164" s="1"/>
  <c r="F111" i="164"/>
  <c r="H111" i="164" s="1"/>
  <c r="F110" i="164"/>
  <c r="H110" i="164" s="1"/>
  <c r="F109" i="164"/>
  <c r="H109" i="164" s="1"/>
  <c r="F108" i="164"/>
  <c r="H108" i="164" s="1"/>
  <c r="F107" i="164"/>
  <c r="H107" i="164" s="1"/>
  <c r="F106" i="164"/>
  <c r="H106" i="164" s="1"/>
  <c r="F105" i="164"/>
  <c r="H105" i="164" s="1"/>
  <c r="F104" i="164"/>
  <c r="H104" i="164" s="1"/>
  <c r="F103" i="164"/>
  <c r="H103" i="164" s="1"/>
  <c r="F102" i="164"/>
  <c r="H102" i="164" s="1"/>
  <c r="F101" i="164"/>
  <c r="H101" i="164" s="1"/>
  <c r="F100" i="164"/>
  <c r="H100" i="164" s="1"/>
  <c r="F99" i="164"/>
  <c r="H99" i="164" s="1"/>
  <c r="F97" i="164"/>
  <c r="H97" i="164" s="1"/>
  <c r="F96" i="164"/>
  <c r="H96" i="164" s="1"/>
  <c r="F95" i="164"/>
  <c r="H95" i="164" s="1"/>
  <c r="F94" i="164"/>
  <c r="H94" i="164" s="1"/>
  <c r="F93" i="164"/>
  <c r="H93" i="164" s="1"/>
  <c r="F92" i="164"/>
  <c r="H92" i="164" s="1"/>
  <c r="F91" i="164"/>
  <c r="H91" i="164" s="1"/>
  <c r="F90" i="164"/>
  <c r="H90" i="164" s="1"/>
  <c r="F89" i="164"/>
  <c r="H89" i="164" s="1"/>
  <c r="F88" i="164"/>
  <c r="H88" i="164" s="1"/>
  <c r="F87" i="164"/>
  <c r="H87" i="164" s="1"/>
  <c r="F86" i="164"/>
  <c r="H86" i="164" s="1"/>
  <c r="F85" i="164"/>
  <c r="H85" i="164" s="1"/>
  <c r="F84" i="164"/>
  <c r="H84" i="164" s="1"/>
  <c r="F83" i="164"/>
  <c r="H83" i="164" s="1"/>
  <c r="F82" i="164"/>
  <c r="H82" i="164" s="1"/>
  <c r="F81" i="164"/>
  <c r="H81" i="164" s="1"/>
  <c r="F80" i="164"/>
  <c r="H80" i="164" s="1"/>
  <c r="F79" i="164"/>
  <c r="H79" i="164" s="1"/>
  <c r="F78" i="164"/>
  <c r="H78" i="164" s="1"/>
  <c r="F77" i="164"/>
  <c r="H77" i="164" s="1"/>
  <c r="F75" i="164"/>
  <c r="H75" i="164" s="1"/>
  <c r="F74" i="164"/>
  <c r="H74" i="164" s="1"/>
  <c r="F73" i="164"/>
  <c r="H73" i="164" s="1"/>
  <c r="F71" i="164"/>
  <c r="H71" i="164" s="1"/>
  <c r="F70" i="164"/>
  <c r="H70" i="164" s="1"/>
  <c r="F69" i="164"/>
  <c r="H69" i="164" s="1"/>
  <c r="F67" i="164"/>
  <c r="H67" i="164" s="1"/>
  <c r="F66" i="164"/>
  <c r="H66" i="164" s="1"/>
  <c r="F65" i="164"/>
  <c r="H65" i="164" s="1"/>
  <c r="F63" i="164"/>
  <c r="H63" i="164" s="1"/>
  <c r="F61" i="164"/>
  <c r="H61" i="164" s="1"/>
  <c r="F57" i="164"/>
  <c r="H57" i="164" s="1"/>
  <c r="F55" i="164"/>
  <c r="H55" i="164" s="1"/>
  <c r="F54" i="164"/>
  <c r="H54" i="164" s="1"/>
  <c r="F53" i="164"/>
  <c r="H53" i="164" s="1"/>
  <c r="F51" i="164"/>
  <c r="H51" i="164" s="1"/>
  <c r="F50" i="164"/>
  <c r="H50" i="164" s="1"/>
  <c r="F49" i="164"/>
  <c r="H49" i="164" s="1"/>
  <c r="F48" i="164"/>
  <c r="H48" i="164" s="1"/>
  <c r="F45" i="164"/>
  <c r="H45" i="164" s="1"/>
  <c r="F44" i="164"/>
  <c r="H44" i="164" s="1"/>
  <c r="F43" i="164"/>
  <c r="H43" i="164" s="1"/>
  <c r="F42" i="164"/>
  <c r="H42" i="164" s="1"/>
  <c r="F40" i="164"/>
  <c r="H40" i="164" s="1"/>
  <c r="F39" i="164"/>
  <c r="H39" i="164" s="1"/>
  <c r="F38" i="164"/>
  <c r="H38" i="164" s="1"/>
  <c r="F36" i="164"/>
  <c r="H36" i="164" s="1"/>
  <c r="F35" i="164"/>
  <c r="H35" i="164" s="1"/>
  <c r="F32" i="164"/>
  <c r="H32" i="164" s="1"/>
  <c r="F31" i="164"/>
  <c r="H31" i="164" s="1"/>
  <c r="F28" i="164"/>
  <c r="H28" i="164" s="1"/>
  <c r="F27" i="164"/>
  <c r="H27" i="164" s="1"/>
  <c r="F26" i="164"/>
  <c r="H26" i="164" s="1"/>
  <c r="F25" i="164"/>
  <c r="H25" i="164" s="1"/>
  <c r="F24" i="164"/>
  <c r="H24" i="164" s="1"/>
  <c r="F23" i="164"/>
  <c r="H23" i="164" s="1"/>
  <c r="F22" i="164"/>
  <c r="H22" i="164" s="1"/>
  <c r="F21" i="164"/>
  <c r="H21" i="164" s="1"/>
  <c r="F20" i="164"/>
  <c r="H20" i="164" s="1"/>
  <c r="F19" i="164"/>
  <c r="H19" i="164" s="1"/>
  <c r="F18" i="164"/>
  <c r="H18" i="164" s="1"/>
  <c r="F17" i="164"/>
  <c r="H17" i="164" s="1"/>
  <c r="F15" i="164"/>
  <c r="H15" i="164" s="1"/>
  <c r="F14" i="164"/>
  <c r="H14" i="164" s="1"/>
  <c r="D29" i="164"/>
  <c r="F13" i="165" s="1"/>
  <c r="D47" i="165"/>
  <c r="D45" i="165"/>
  <c r="D155" i="164"/>
  <c r="C155" i="164"/>
  <c r="S156" i="164"/>
  <c r="S155" i="164" s="1"/>
  <c r="S53" i="165" s="1"/>
  <c r="R156" i="164"/>
  <c r="R155" i="164" s="1"/>
  <c r="R53" i="165" s="1"/>
  <c r="Q156" i="164"/>
  <c r="Q155" i="164" s="1"/>
  <c r="Q53" i="165" s="1"/>
  <c r="P156" i="164"/>
  <c r="P155" i="164" s="1"/>
  <c r="P53" i="165" s="1"/>
  <c r="O156" i="164"/>
  <c r="O155" i="164" s="1"/>
  <c r="O53" i="165" s="1"/>
  <c r="N156" i="164"/>
  <c r="N155" i="164" s="1"/>
  <c r="N53" i="165" s="1"/>
  <c r="M156" i="164"/>
  <c r="M155" i="164" s="1"/>
  <c r="M53" i="165" s="1"/>
  <c r="L156" i="164"/>
  <c r="L155" i="164" s="1"/>
  <c r="L53" i="165" s="1"/>
  <c r="K156" i="164"/>
  <c r="K155" i="164" s="1"/>
  <c r="K53" i="165" s="1"/>
  <c r="I156" i="164"/>
  <c r="I155" i="164" s="1"/>
  <c r="I53" i="165" s="1"/>
  <c r="E132" i="164"/>
  <c r="D76" i="164"/>
  <c r="F25" i="165" s="1"/>
  <c r="E114" i="164"/>
  <c r="E112" i="164"/>
  <c r="E113" i="164"/>
  <c r="E115" i="164"/>
  <c r="A8" i="166"/>
  <c r="A8" i="165"/>
  <c r="A8" i="164"/>
  <c r="A55" i="166"/>
  <c r="A54" i="166"/>
  <c r="A58" i="166"/>
  <c r="A57" i="166"/>
  <c r="A52" i="166"/>
  <c r="A46" i="166"/>
  <c r="C63" i="165"/>
  <c r="C62" i="165"/>
  <c r="A66" i="165"/>
  <c r="A65" i="165"/>
  <c r="A63" i="165"/>
  <c r="A62" i="165"/>
  <c r="A60" i="165"/>
  <c r="A59" i="165"/>
  <c r="S177" i="164"/>
  <c r="S176" i="164" s="1"/>
  <c r="R177" i="164"/>
  <c r="R176" i="164" s="1"/>
  <c r="Q177" i="164"/>
  <c r="Q176" i="164" s="1"/>
  <c r="P177" i="164"/>
  <c r="P176" i="164" s="1"/>
  <c r="O177" i="164"/>
  <c r="O176" i="164" s="1"/>
  <c r="N177" i="164"/>
  <c r="N176" i="164" s="1"/>
  <c r="M177" i="164"/>
  <c r="M176" i="164" s="1"/>
  <c r="L177" i="164"/>
  <c r="L176" i="164" s="1"/>
  <c r="K177" i="164"/>
  <c r="K176" i="164" s="1"/>
  <c r="S175" i="164"/>
  <c r="S174" i="164" s="1"/>
  <c r="R175" i="164"/>
  <c r="R174" i="164" s="1"/>
  <c r="Q175" i="164"/>
  <c r="Q174" i="164" s="1"/>
  <c r="P175" i="164"/>
  <c r="P174" i="164" s="1"/>
  <c r="O175" i="164"/>
  <c r="O174" i="164" s="1"/>
  <c r="N175" i="164"/>
  <c r="N174" i="164" s="1"/>
  <c r="M175" i="164"/>
  <c r="M174" i="164" s="1"/>
  <c r="L175" i="164"/>
  <c r="L174" i="164" s="1"/>
  <c r="K175" i="164"/>
  <c r="K174" i="164" s="1"/>
  <c r="S173" i="164"/>
  <c r="R173" i="164"/>
  <c r="Q173" i="164"/>
  <c r="P173" i="164"/>
  <c r="O173" i="164"/>
  <c r="N173" i="164"/>
  <c r="M173" i="164"/>
  <c r="L173" i="164"/>
  <c r="K173" i="164"/>
  <c r="S172" i="164"/>
  <c r="R172" i="164"/>
  <c r="Q172" i="164"/>
  <c r="P172" i="164"/>
  <c r="O172" i="164"/>
  <c r="N172" i="164"/>
  <c r="M172" i="164"/>
  <c r="L172" i="164"/>
  <c r="K172" i="164"/>
  <c r="S171" i="164"/>
  <c r="R171" i="164"/>
  <c r="Q171" i="164"/>
  <c r="P171" i="164"/>
  <c r="O171" i="164"/>
  <c r="N171" i="164"/>
  <c r="M171" i="164"/>
  <c r="L171" i="164"/>
  <c r="K171" i="164"/>
  <c r="S168" i="164"/>
  <c r="S167" i="164" s="1"/>
  <c r="R168" i="164"/>
  <c r="R167" i="164" s="1"/>
  <c r="Q168" i="164"/>
  <c r="Q167" i="164" s="1"/>
  <c r="P168" i="164"/>
  <c r="P167" i="164" s="1"/>
  <c r="O168" i="164"/>
  <c r="O167" i="164" s="1"/>
  <c r="N168" i="164"/>
  <c r="N167" i="164" s="1"/>
  <c r="M168" i="164"/>
  <c r="M167" i="164" s="1"/>
  <c r="L168" i="164"/>
  <c r="L167" i="164" s="1"/>
  <c r="K168" i="164"/>
  <c r="K167" i="164" s="1"/>
  <c r="S166" i="164"/>
  <c r="S165" i="164" s="1"/>
  <c r="R166" i="164"/>
  <c r="R165" i="164" s="1"/>
  <c r="Q166" i="164"/>
  <c r="Q165" i="164" s="1"/>
  <c r="P166" i="164"/>
  <c r="P165" i="164" s="1"/>
  <c r="O166" i="164"/>
  <c r="O165" i="164" s="1"/>
  <c r="N166" i="164"/>
  <c r="N165" i="164" s="1"/>
  <c r="M166" i="164"/>
  <c r="M165" i="164" s="1"/>
  <c r="L166" i="164"/>
  <c r="L165" i="164" s="1"/>
  <c r="K166" i="164"/>
  <c r="K165" i="164" s="1"/>
  <c r="S164" i="164"/>
  <c r="R164" i="164"/>
  <c r="Q164" i="164"/>
  <c r="P164" i="164"/>
  <c r="O164" i="164"/>
  <c r="N164" i="164"/>
  <c r="M164" i="164"/>
  <c r="L164" i="164"/>
  <c r="K164" i="164"/>
  <c r="S163" i="164"/>
  <c r="R163" i="164"/>
  <c r="R162" i="164"/>
  <c r="Q163" i="164"/>
  <c r="P163" i="164"/>
  <c r="O163" i="164"/>
  <c r="O162" i="164"/>
  <c r="N163" i="164"/>
  <c r="M163" i="164"/>
  <c r="L163" i="164"/>
  <c r="K163" i="164"/>
  <c r="S162" i="164"/>
  <c r="Q162" i="164"/>
  <c r="P162" i="164"/>
  <c r="N162" i="164"/>
  <c r="M162" i="164"/>
  <c r="L162" i="164"/>
  <c r="K162" i="164"/>
  <c r="S159" i="164"/>
  <c r="R159" i="164"/>
  <c r="Q159" i="164"/>
  <c r="P159" i="164"/>
  <c r="O159" i="164"/>
  <c r="N159" i="164"/>
  <c r="M159" i="164"/>
  <c r="L159" i="164"/>
  <c r="K159" i="164"/>
  <c r="O145" i="164"/>
  <c r="O52" i="165" s="1"/>
  <c r="P145" i="164"/>
  <c r="P52" i="165" s="1"/>
  <c r="Q142" i="164"/>
  <c r="Q51" i="165" s="1"/>
  <c r="P142" i="164"/>
  <c r="P51" i="165" s="1"/>
  <c r="O142" i="164"/>
  <c r="O51" i="165" s="1"/>
  <c r="S138" i="164"/>
  <c r="R138" i="164"/>
  <c r="N138" i="164"/>
  <c r="L138" i="164"/>
  <c r="K138" i="164"/>
  <c r="Q138" i="164"/>
  <c r="P138" i="164"/>
  <c r="M138" i="164"/>
  <c r="R130" i="164"/>
  <c r="L130" i="164"/>
  <c r="L37" i="165" s="1"/>
  <c r="Q126" i="164"/>
  <c r="Q44" i="165" s="1"/>
  <c r="P126" i="164"/>
  <c r="P44" i="165" s="1"/>
  <c r="O126" i="164"/>
  <c r="O33" i="165" s="1"/>
  <c r="S126" i="164"/>
  <c r="S44" i="165" s="1"/>
  <c r="R126" i="164"/>
  <c r="R44" i="165" s="1"/>
  <c r="L126" i="164"/>
  <c r="L33" i="165" s="1"/>
  <c r="K126" i="164"/>
  <c r="N121" i="164"/>
  <c r="Q121" i="164"/>
  <c r="S121" i="164"/>
  <c r="L121" i="164"/>
  <c r="R117" i="164"/>
  <c r="S117" i="164"/>
  <c r="S27" i="165" s="1"/>
  <c r="L117" i="164"/>
  <c r="K117" i="164"/>
  <c r="K27" i="165" s="1"/>
  <c r="K26" i="165" s="1"/>
  <c r="P117" i="164"/>
  <c r="O117" i="164"/>
  <c r="O27" i="165" s="1"/>
  <c r="O26" i="165" s="1"/>
  <c r="N117" i="164"/>
  <c r="P72" i="164"/>
  <c r="P24" i="165" s="1"/>
  <c r="M72" i="164"/>
  <c r="M24" i="165" s="1"/>
  <c r="O72" i="164"/>
  <c r="O24" i="165" s="1"/>
  <c r="Q68" i="164"/>
  <c r="Q23" i="165" s="1"/>
  <c r="M68" i="164"/>
  <c r="M23" i="165" s="1"/>
  <c r="Q64" i="164"/>
  <c r="Q22" i="165" s="1"/>
  <c r="M64" i="164"/>
  <c r="M22" i="165" s="1"/>
  <c r="N60" i="164"/>
  <c r="N21" i="165" s="1"/>
  <c r="N56" i="164"/>
  <c r="N19" i="165" s="1"/>
  <c r="K56" i="164"/>
  <c r="K19" i="165" s="1"/>
  <c r="P56" i="164"/>
  <c r="P19" i="165" s="1"/>
  <c r="S47" i="164"/>
  <c r="S18" i="165" s="1"/>
  <c r="L47" i="164"/>
  <c r="K47" i="164"/>
  <c r="S29" i="164"/>
  <c r="S13" i="165" s="1"/>
  <c r="L29" i="164"/>
  <c r="L13" i="165" s="1"/>
  <c r="E178" i="164"/>
  <c r="E151" i="164"/>
  <c r="E131" i="164"/>
  <c r="E127" i="164"/>
  <c r="E125" i="164"/>
  <c r="E124" i="164"/>
  <c r="E123" i="164"/>
  <c r="E122" i="164"/>
  <c r="E120" i="164"/>
  <c r="E119" i="164"/>
  <c r="E118" i="164"/>
  <c r="E111" i="164"/>
  <c r="E110" i="164"/>
  <c r="E109" i="164"/>
  <c r="E108" i="164"/>
  <c r="E107" i="164"/>
  <c r="E105" i="164"/>
  <c r="E104" i="164"/>
  <c r="E103" i="164"/>
  <c r="E102" i="164"/>
  <c r="E101" i="164"/>
  <c r="E100" i="164"/>
  <c r="E99" i="164"/>
  <c r="E98" i="164"/>
  <c r="E97" i="164"/>
  <c r="E96" i="164"/>
  <c r="E95" i="164"/>
  <c r="E94" i="164"/>
  <c r="E93" i="164"/>
  <c r="E92" i="164"/>
  <c r="E91" i="164"/>
  <c r="E90" i="164"/>
  <c r="E89" i="164"/>
  <c r="E88" i="164"/>
  <c r="E87" i="164"/>
  <c r="E86" i="164"/>
  <c r="E85" i="164"/>
  <c r="E84" i="164"/>
  <c r="E83" i="164"/>
  <c r="E82" i="164"/>
  <c r="E81" i="164"/>
  <c r="E80" i="164"/>
  <c r="E79" i="164"/>
  <c r="E78" i="164"/>
  <c r="E77" i="164"/>
  <c r="E75" i="164"/>
  <c r="E74" i="164"/>
  <c r="E73" i="164"/>
  <c r="E71" i="164"/>
  <c r="E70" i="164"/>
  <c r="E69" i="164"/>
  <c r="E67" i="164"/>
  <c r="E66" i="164"/>
  <c r="E65" i="164"/>
  <c r="E63" i="164"/>
  <c r="E61" i="164"/>
  <c r="E57" i="164"/>
  <c r="E55" i="164"/>
  <c r="E54" i="164"/>
  <c r="E53" i="164"/>
  <c r="E51" i="164"/>
  <c r="E50" i="164"/>
  <c r="E49" i="164"/>
  <c r="E48" i="164"/>
  <c r="E45" i="164"/>
  <c r="E44" i="164"/>
  <c r="E43" i="164"/>
  <c r="E42" i="164"/>
  <c r="E40" i="164"/>
  <c r="E39" i="164"/>
  <c r="E38" i="164"/>
  <c r="E37" i="164"/>
  <c r="E36" i="164"/>
  <c r="E35" i="164"/>
  <c r="E32" i="164"/>
  <c r="E31" i="164"/>
  <c r="E30" i="164"/>
  <c r="E28" i="164"/>
  <c r="E27" i="164"/>
  <c r="E26" i="164"/>
  <c r="E25" i="164"/>
  <c r="E24" i="164"/>
  <c r="E23" i="164"/>
  <c r="E22" i="164"/>
  <c r="E21" i="164"/>
  <c r="E20" i="164"/>
  <c r="E19" i="164"/>
  <c r="E18" i="164"/>
  <c r="E17" i="164"/>
  <c r="E16" i="164"/>
  <c r="E15" i="164"/>
  <c r="E14" i="164"/>
  <c r="D177" i="164"/>
  <c r="D176" i="164" s="1"/>
  <c r="C177" i="164"/>
  <c r="I175" i="164"/>
  <c r="I174" i="164" s="1"/>
  <c r="D174" i="164"/>
  <c r="C174" i="164"/>
  <c r="I173" i="164"/>
  <c r="I172" i="164"/>
  <c r="I171" i="164"/>
  <c r="D170" i="164"/>
  <c r="C170" i="164"/>
  <c r="I168" i="164"/>
  <c r="I167" i="164" s="1"/>
  <c r="D167" i="164"/>
  <c r="C167" i="164"/>
  <c r="I166" i="164"/>
  <c r="I165" i="164" s="1"/>
  <c r="D165" i="164"/>
  <c r="C165" i="164"/>
  <c r="E53" i="165" s="1"/>
  <c r="I164" i="164"/>
  <c r="I163" i="164"/>
  <c r="I162" i="164"/>
  <c r="D161" i="164"/>
  <c r="C161" i="164"/>
  <c r="I159" i="164"/>
  <c r="D159" i="164"/>
  <c r="C159" i="164"/>
  <c r="D145" i="164"/>
  <c r="F53" i="165" s="1"/>
  <c r="C145" i="164"/>
  <c r="E52" i="165" s="1"/>
  <c r="I142" i="164"/>
  <c r="D142" i="164"/>
  <c r="F51" i="165" s="1"/>
  <c r="C142" i="164"/>
  <c r="E51" i="165" s="1"/>
  <c r="I138" i="164"/>
  <c r="D138" i="164"/>
  <c r="C138" i="164"/>
  <c r="D130" i="164"/>
  <c r="F46" i="165" s="1"/>
  <c r="F45" i="165" s="1"/>
  <c r="C130" i="164"/>
  <c r="C129" i="164" s="1"/>
  <c r="D126" i="164"/>
  <c r="F44" i="165" s="1"/>
  <c r="C126" i="164"/>
  <c r="E44" i="165" s="1"/>
  <c r="D121" i="164"/>
  <c r="C121" i="164"/>
  <c r="D117" i="164"/>
  <c r="D116" i="164" s="1"/>
  <c r="C117" i="164"/>
  <c r="C76" i="164"/>
  <c r="D72" i="164"/>
  <c r="F24" i="165" s="1"/>
  <c r="C72" i="164"/>
  <c r="E24" i="165" s="1"/>
  <c r="D68" i="164"/>
  <c r="F23" i="165" s="1"/>
  <c r="C68" i="164"/>
  <c r="E23" i="165" s="1"/>
  <c r="D64" i="164"/>
  <c r="F22" i="165" s="1"/>
  <c r="C64" i="164"/>
  <c r="D60" i="164"/>
  <c r="F21" i="165" s="1"/>
  <c r="C60" i="164"/>
  <c r="D56" i="164"/>
  <c r="F19" i="165" s="1"/>
  <c r="C56" i="164"/>
  <c r="E19" i="165" s="1"/>
  <c r="D47" i="164"/>
  <c r="C47" i="164"/>
  <c r="D41" i="164"/>
  <c r="F16" i="165" s="1"/>
  <c r="C41" i="164"/>
  <c r="E16" i="165" s="1"/>
  <c r="D34" i="164"/>
  <c r="F15" i="165" s="1"/>
  <c r="C34" i="164"/>
  <c r="E15" i="165" s="1"/>
  <c r="C29" i="164"/>
  <c r="E13" i="165" s="1"/>
  <c r="D13" i="164"/>
  <c r="F12" i="165" s="1"/>
  <c r="C13" i="164"/>
  <c r="E12" i="165" s="1"/>
  <c r="C11" i="165"/>
  <c r="A38" i="138"/>
  <c r="A180" i="164"/>
  <c r="A179" i="164"/>
  <c r="A37" i="138"/>
  <c r="C183" i="164"/>
  <c r="C182" i="164"/>
  <c r="A186" i="164"/>
  <c r="A185" i="164"/>
  <c r="A183" i="164"/>
  <c r="A182" i="164"/>
  <c r="D56" i="165"/>
  <c r="C56" i="165"/>
  <c r="D50" i="165"/>
  <c r="D28" i="165"/>
  <c r="D26" i="165"/>
  <c r="D17" i="165"/>
  <c r="D14" i="165" s="1"/>
  <c r="D11" i="165"/>
  <c r="C45" i="165"/>
  <c r="C28" i="165"/>
  <c r="L13" i="164"/>
  <c r="L12" i="165" s="1"/>
  <c r="S13" i="164"/>
  <c r="S12" i="165" s="1"/>
  <c r="Q13" i="164"/>
  <c r="Q12" i="165" s="1"/>
  <c r="M47" i="164"/>
  <c r="M18" i="165" s="1"/>
  <c r="R47" i="164"/>
  <c r="R18" i="165" s="1"/>
  <c r="P47" i="164"/>
  <c r="P18" i="165" s="1"/>
  <c r="O47" i="164"/>
  <c r="O18" i="165" s="1"/>
  <c r="K64" i="164"/>
  <c r="K22" i="165" s="1"/>
  <c r="R64" i="164"/>
  <c r="R22" i="165" s="1"/>
  <c r="P76" i="164"/>
  <c r="P25" i="165" s="1"/>
  <c r="M121" i="164"/>
  <c r="Q145" i="164"/>
  <c r="Q52" i="165" s="1"/>
  <c r="M13" i="164"/>
  <c r="M12" i="165" s="1"/>
  <c r="K13" i="164"/>
  <c r="R13" i="164"/>
  <c r="R12" i="165" s="1"/>
  <c r="O56" i="164"/>
  <c r="O19" i="165" s="1"/>
  <c r="N64" i="164"/>
  <c r="N22" i="165" s="1"/>
  <c r="M142" i="164"/>
  <c r="M51" i="165" s="1"/>
  <c r="M76" i="164"/>
  <c r="M25" i="165" s="1"/>
  <c r="O76" i="164"/>
  <c r="O25" i="165" s="1"/>
  <c r="N142" i="164"/>
  <c r="N51" i="165" s="1"/>
  <c r="O34" i="164"/>
  <c r="M34" i="164"/>
  <c r="P34" i="164"/>
  <c r="P15" i="165" s="1"/>
  <c r="Q72" i="164"/>
  <c r="Q24" i="165" s="1"/>
  <c r="N76" i="164"/>
  <c r="N25" i="165" s="1"/>
  <c r="L76" i="164"/>
  <c r="L25" i="165" s="1"/>
  <c r="S76" i="164"/>
  <c r="S25" i="165" s="1"/>
  <c r="Q76" i="164"/>
  <c r="Q25" i="165" s="1"/>
  <c r="K130" i="164"/>
  <c r="K46" i="165" s="1"/>
  <c r="K45" i="165" s="1"/>
  <c r="L56" i="164"/>
  <c r="L19" i="165" s="1"/>
  <c r="S56" i="164"/>
  <c r="S19" i="165" s="1"/>
  <c r="K60" i="164"/>
  <c r="K21" i="165" s="1"/>
  <c r="R60" i="164"/>
  <c r="R21" i="165" s="1"/>
  <c r="P60" i="164"/>
  <c r="P21" i="165" s="1"/>
  <c r="O60" i="164"/>
  <c r="O21" i="165" s="1"/>
  <c r="M60" i="164"/>
  <c r="M21" i="165" s="1"/>
  <c r="P64" i="164"/>
  <c r="P22" i="165" s="1"/>
  <c r="P121" i="164"/>
  <c r="S130" i="164"/>
  <c r="K29" i="164"/>
  <c r="K13" i="165" s="1"/>
  <c r="R29" i="164"/>
  <c r="R13" i="165" s="1"/>
  <c r="K41" i="164"/>
  <c r="K16" i="165" s="1"/>
  <c r="R41" i="164"/>
  <c r="R16" i="165" s="1"/>
  <c r="P41" i="164"/>
  <c r="P16" i="165" s="1"/>
  <c r="O41" i="164"/>
  <c r="O16" i="165" s="1"/>
  <c r="M41" i="164"/>
  <c r="M16" i="165" s="1"/>
  <c r="M56" i="164"/>
  <c r="M19" i="165" s="1"/>
  <c r="R56" i="164"/>
  <c r="R19" i="165" s="1"/>
  <c r="L60" i="164"/>
  <c r="L21" i="165" s="1"/>
  <c r="S60" i="164"/>
  <c r="S21" i="165" s="1"/>
  <c r="K68" i="164"/>
  <c r="K23" i="165" s="1"/>
  <c r="R68" i="164"/>
  <c r="R23" i="165" s="1"/>
  <c r="P68" i="164"/>
  <c r="P23" i="165" s="1"/>
  <c r="K142" i="164"/>
  <c r="K51" i="165" s="1"/>
  <c r="R142" i="164"/>
  <c r="R51" i="165" s="1"/>
  <c r="N47" i="164"/>
  <c r="N18" i="165" s="1"/>
  <c r="L64" i="164"/>
  <c r="S64" i="164"/>
  <c r="S22" i="165" s="1"/>
  <c r="P130" i="164"/>
  <c r="O130" i="164"/>
  <c r="O46" i="165" s="1"/>
  <c r="O45" i="165" s="1"/>
  <c r="Q34" i="164"/>
  <c r="Q15" i="165" s="1"/>
  <c r="N41" i="164"/>
  <c r="N16" i="165" s="1"/>
  <c r="L41" i="164"/>
  <c r="L16" i="165" s="1"/>
  <c r="S41" i="164"/>
  <c r="S16" i="165" s="1"/>
  <c r="O64" i="164"/>
  <c r="O22" i="165" s="1"/>
  <c r="N68" i="164"/>
  <c r="N23" i="165" s="1"/>
  <c r="L68" i="164"/>
  <c r="L23" i="165" s="1"/>
  <c r="O121" i="164"/>
  <c r="Q130" i="164"/>
  <c r="N13" i="164"/>
  <c r="N12" i="165" s="1"/>
  <c r="K34" i="164"/>
  <c r="K15" i="165" s="1"/>
  <c r="R34" i="164"/>
  <c r="R15" i="165" s="1"/>
  <c r="O68" i="164"/>
  <c r="O23" i="165" s="1"/>
  <c r="K72" i="164"/>
  <c r="K24" i="165" s="1"/>
  <c r="R72" i="164"/>
  <c r="R24" i="165" s="1"/>
  <c r="Q117" i="164"/>
  <c r="M145" i="164"/>
  <c r="M52" i="165" s="1"/>
  <c r="K145" i="164"/>
  <c r="K52" i="165" s="1"/>
  <c r="R145" i="164"/>
  <c r="R52" i="165" s="1"/>
  <c r="P13" i="164"/>
  <c r="P12" i="165" s="1"/>
  <c r="O13" i="164"/>
  <c r="N29" i="164"/>
  <c r="N13" i="165" s="1"/>
  <c r="L142" i="164"/>
  <c r="L51" i="165" s="1"/>
  <c r="S142" i="164"/>
  <c r="S51" i="165" s="1"/>
  <c r="N145" i="164"/>
  <c r="N52" i="165" s="1"/>
  <c r="L145" i="164"/>
  <c r="L52" i="165" s="1"/>
  <c r="S145" i="164"/>
  <c r="S52" i="165" s="1"/>
  <c r="I117" i="164"/>
  <c r="I116" i="164" s="1"/>
  <c r="P29" i="164"/>
  <c r="P13" i="165" s="1"/>
  <c r="O29" i="164"/>
  <c r="O13" i="165" s="1"/>
  <c r="M29" i="164"/>
  <c r="M13" i="165" s="1"/>
  <c r="Q47" i="164"/>
  <c r="Q18" i="165" s="1"/>
  <c r="Q56" i="164"/>
  <c r="Q19" i="165" s="1"/>
  <c r="K76" i="164"/>
  <c r="K25" i="165" s="1"/>
  <c r="R76" i="164"/>
  <c r="R25" i="165" s="1"/>
  <c r="M126" i="164"/>
  <c r="M44" i="165" s="1"/>
  <c r="M130" i="164"/>
  <c r="M46" i="165" s="1"/>
  <c r="M45" i="165" s="1"/>
  <c r="N34" i="164"/>
  <c r="N15" i="165" s="1"/>
  <c r="L34" i="164"/>
  <c r="S34" i="164"/>
  <c r="S15" i="165" s="1"/>
  <c r="Q41" i="164"/>
  <c r="Q16" i="165" s="1"/>
  <c r="Q60" i="164"/>
  <c r="Q21" i="165" s="1"/>
  <c r="N72" i="164"/>
  <c r="N24" i="165" s="1"/>
  <c r="L72" i="164"/>
  <c r="L24" i="165" s="1"/>
  <c r="S72" i="164"/>
  <c r="S24" i="165" s="1"/>
  <c r="M117" i="164"/>
  <c r="M27" i="165" s="1"/>
  <c r="M26" i="165" s="1"/>
  <c r="K121" i="164"/>
  <c r="R121" i="164"/>
  <c r="N126" i="164"/>
  <c r="N44" i="165" s="1"/>
  <c r="N130" i="164"/>
  <c r="N46" i="165" s="1"/>
  <c r="N45" i="165" s="1"/>
  <c r="I68" i="164"/>
  <c r="I23" i="165" s="1"/>
  <c r="I13" i="164"/>
  <c r="I34" i="164"/>
  <c r="I15" i="165" s="1"/>
  <c r="I64" i="164"/>
  <c r="I22" i="165" s="1"/>
  <c r="I126" i="164"/>
  <c r="I33" i="165" s="1"/>
  <c r="I60" i="164"/>
  <c r="I21" i="165" s="1"/>
  <c r="I145" i="164"/>
  <c r="I52" i="165" s="1"/>
  <c r="I76" i="164"/>
  <c r="I29" i="164"/>
  <c r="I13" i="165" s="1"/>
  <c r="I72" i="164"/>
  <c r="I24" i="165" s="1"/>
  <c r="I47" i="164"/>
  <c r="I18" i="165" s="1"/>
  <c r="I56" i="164"/>
  <c r="I41" i="164"/>
  <c r="I130" i="164"/>
  <c r="I46" i="165" s="1"/>
  <c r="I121" i="164"/>
  <c r="I177" i="164"/>
  <c r="I176" i="164" s="1"/>
  <c r="D14" i="138"/>
  <c r="C14" i="138"/>
  <c r="E28" i="138"/>
  <c r="F28" i="138"/>
  <c r="F26" i="138"/>
  <c r="E26" i="138"/>
  <c r="F31" i="138"/>
  <c r="E31" i="138"/>
  <c r="F30" i="138"/>
  <c r="E30" i="138"/>
  <c r="F29" i="138"/>
  <c r="E29" i="138"/>
  <c r="F27" i="138"/>
  <c r="E27" i="138"/>
  <c r="G28" i="138"/>
  <c r="G26" i="138"/>
  <c r="D68" i="137"/>
  <c r="F18" i="138" s="1"/>
  <c r="C68" i="137"/>
  <c r="E18" i="138" s="1"/>
  <c r="M2" i="160"/>
  <c r="M1" i="160" s="1"/>
  <c r="D17" i="138"/>
  <c r="C17" i="138"/>
  <c r="E83" i="137"/>
  <c r="E78" i="137"/>
  <c r="E66" i="137"/>
  <c r="E64" i="137"/>
  <c r="E53" i="137"/>
  <c r="E39" i="137"/>
  <c r="E38" i="137"/>
  <c r="E37" i="137"/>
  <c r="E36" i="137"/>
  <c r="E35" i="137"/>
  <c r="E34" i="137"/>
  <c r="E33" i="137"/>
  <c r="E32" i="137"/>
  <c r="E31" i="137"/>
  <c r="E30" i="137"/>
  <c r="E29" i="137"/>
  <c r="E28" i="137"/>
  <c r="E27" i="137"/>
  <c r="E26" i="137"/>
  <c r="E25" i="137"/>
  <c r="E24" i="137"/>
  <c r="E23" i="137"/>
  <c r="E22" i="137"/>
  <c r="E21" i="137"/>
  <c r="E20" i="137"/>
  <c r="E19" i="137"/>
  <c r="E18" i="137"/>
  <c r="E17" i="137"/>
  <c r="E16" i="137"/>
  <c r="E15" i="137"/>
  <c r="E14" i="137"/>
  <c r="E13" i="137"/>
  <c r="A8" i="138"/>
  <c r="C85" i="137"/>
  <c r="E34" i="138" s="1"/>
  <c r="C82" i="137"/>
  <c r="E32" i="138" s="1"/>
  <c r="C77" i="137"/>
  <c r="E24" i="138" s="1"/>
  <c r="C75" i="137"/>
  <c r="E22" i="138" s="1"/>
  <c r="C73" i="137"/>
  <c r="E21" i="138" s="1"/>
  <c r="C65" i="137"/>
  <c r="E16" i="138" s="1"/>
  <c r="C60" i="137"/>
  <c r="C59" i="137" s="1"/>
  <c r="C44" i="137"/>
  <c r="C41" i="137"/>
  <c r="C40" i="137" s="1"/>
  <c r="E12" i="138" s="1"/>
  <c r="C12" i="137"/>
  <c r="E11" i="138" s="1"/>
  <c r="A44" i="138"/>
  <c r="A43" i="138"/>
  <c r="F12" i="137"/>
  <c r="G11" i="138" s="1"/>
  <c r="F70" i="137"/>
  <c r="G19" i="138" s="1"/>
  <c r="F73" i="137"/>
  <c r="G21" i="138"/>
  <c r="F75" i="137"/>
  <c r="G22" i="138" s="1"/>
  <c r="F41" i="137"/>
  <c r="F44" i="137"/>
  <c r="F60" i="137"/>
  <c r="G15" i="138" s="1"/>
  <c r="F65" i="137"/>
  <c r="G16" i="138" s="1"/>
  <c r="F77" i="137"/>
  <c r="G24" i="138" s="1"/>
  <c r="F82" i="137"/>
  <c r="F85" i="137"/>
  <c r="F84" i="137" s="1"/>
  <c r="G33" i="138" s="1"/>
  <c r="D75" i="137"/>
  <c r="F22" i="138" s="1"/>
  <c r="D73" i="137"/>
  <c r="F21" i="138" s="1"/>
  <c r="C40" i="138"/>
  <c r="A40" i="138"/>
  <c r="D82" i="137"/>
  <c r="E82" i="137" s="1"/>
  <c r="G34" i="138"/>
  <c r="D12" i="137"/>
  <c r="F11" i="138" s="1"/>
  <c r="D41" i="137"/>
  <c r="D40" i="137" s="1"/>
  <c r="F12" i="138" s="1"/>
  <c r="D44" i="137"/>
  <c r="D43" i="137" s="1"/>
  <c r="D60" i="137"/>
  <c r="D59" i="137" s="1"/>
  <c r="D58" i="137" s="1"/>
  <c r="D65" i="137"/>
  <c r="F16" i="138" s="1"/>
  <c r="F68" i="137"/>
  <c r="G18" i="138" s="1"/>
  <c r="D77" i="137"/>
  <c r="E77" i="137" s="1"/>
  <c r="G30" i="138"/>
  <c r="D85" i="137"/>
  <c r="D84" i="137" s="1"/>
  <c r="F33" i="138" s="1"/>
  <c r="G29" i="138"/>
  <c r="D25" i="138"/>
  <c r="C25" i="138"/>
  <c r="F40" i="137"/>
  <c r="G12" i="138" s="1"/>
  <c r="F43" i="137"/>
  <c r="G13" i="138" s="1"/>
  <c r="D70" i="137"/>
  <c r="G27" i="138"/>
  <c r="G31" i="138"/>
  <c r="C70" i="137"/>
  <c r="E72" i="137"/>
  <c r="G52" i="165" l="1"/>
  <c r="C13" i="166"/>
  <c r="C28" i="166"/>
  <c r="G53" i="165"/>
  <c r="G43" i="165"/>
  <c r="H43" i="165" s="1"/>
  <c r="I29" i="138"/>
  <c r="C15" i="166"/>
  <c r="I31" i="138"/>
  <c r="I27" i="138"/>
  <c r="F59" i="137"/>
  <c r="F58" i="137" s="1"/>
  <c r="I30" i="138"/>
  <c r="C29" i="166"/>
  <c r="C23" i="166"/>
  <c r="I24" i="138"/>
  <c r="C19" i="166"/>
  <c r="C18" i="166"/>
  <c r="C20" i="166"/>
  <c r="C26" i="166"/>
  <c r="H52" i="165"/>
  <c r="F40" i="166"/>
  <c r="C12" i="166"/>
  <c r="C16" i="166"/>
  <c r="I16" i="138"/>
  <c r="C21" i="166"/>
  <c r="I22" i="138"/>
  <c r="C11" i="166"/>
  <c r="I11" i="138"/>
  <c r="C25" i="166"/>
  <c r="S17" i="165"/>
  <c r="G42" i="165"/>
  <c r="H42" i="165" s="1"/>
  <c r="P27" i="165"/>
  <c r="P26" i="165" s="1"/>
  <c r="S26" i="165"/>
  <c r="R27" i="165"/>
  <c r="Q116" i="164"/>
  <c r="Q27" i="165"/>
  <c r="Q26" i="165" s="1"/>
  <c r="Q129" i="164"/>
  <c r="R36" i="165" s="1"/>
  <c r="Q46" i="165"/>
  <c r="Q37" i="165"/>
  <c r="P46" i="165"/>
  <c r="P45" i="165" s="1"/>
  <c r="S129" i="164"/>
  <c r="S46" i="165"/>
  <c r="S45" i="165"/>
  <c r="R46" i="165"/>
  <c r="R45" i="165" s="1"/>
  <c r="G29" i="165"/>
  <c r="G40" i="165"/>
  <c r="H40" i="165" s="1"/>
  <c r="G34" i="165"/>
  <c r="H34" i="165" s="1"/>
  <c r="G39" i="165"/>
  <c r="H39" i="165" s="1"/>
  <c r="G32" i="165"/>
  <c r="I56" i="165"/>
  <c r="G56" i="165" s="1"/>
  <c r="G57" i="165"/>
  <c r="G38" i="165"/>
  <c r="H38" i="165" s="1"/>
  <c r="G31" i="165"/>
  <c r="G24" i="165"/>
  <c r="G21" i="165"/>
  <c r="G13" i="165"/>
  <c r="F13" i="166" s="1"/>
  <c r="G23" i="165"/>
  <c r="G41" i="165"/>
  <c r="H41" i="165" s="1"/>
  <c r="G35" i="165"/>
  <c r="H35" i="165" s="1"/>
  <c r="G30" i="165"/>
  <c r="I47" i="165"/>
  <c r="G47" i="165" s="1"/>
  <c r="H47" i="165" s="1"/>
  <c r="G48" i="165"/>
  <c r="H48" i="165" s="1"/>
  <c r="D10" i="165"/>
  <c r="C10" i="165"/>
  <c r="S116" i="164"/>
  <c r="M11" i="165"/>
  <c r="C169" i="164"/>
  <c r="C55" i="165" s="1"/>
  <c r="C157" i="164"/>
  <c r="E54" i="165" s="1"/>
  <c r="F121" i="164"/>
  <c r="H121" i="164" s="1"/>
  <c r="P116" i="164"/>
  <c r="K50" i="165"/>
  <c r="F18" i="165"/>
  <c r="F17" i="165" s="1"/>
  <c r="F14" i="165" s="1"/>
  <c r="D46" i="164"/>
  <c r="D33" i="164" s="1"/>
  <c r="M12" i="164"/>
  <c r="P11" i="165"/>
  <c r="E117" i="164"/>
  <c r="D12" i="164"/>
  <c r="E25" i="165"/>
  <c r="C46" i="164"/>
  <c r="L46" i="164"/>
  <c r="L33" i="164" s="1"/>
  <c r="O116" i="164"/>
  <c r="N141" i="164"/>
  <c r="O44" i="165"/>
  <c r="S28" i="165"/>
  <c r="F41" i="164"/>
  <c r="H41" i="164" s="1"/>
  <c r="E60" i="164"/>
  <c r="E177" i="164"/>
  <c r="I27" i="165"/>
  <c r="O28" i="165"/>
  <c r="M28" i="165"/>
  <c r="Q17" i="165"/>
  <c r="Q14" i="165" s="1"/>
  <c r="N11" i="165"/>
  <c r="M17" i="165"/>
  <c r="P46" i="164"/>
  <c r="P33" i="164" s="1"/>
  <c r="E121" i="164"/>
  <c r="K46" i="164"/>
  <c r="K33" i="164" s="1"/>
  <c r="F28" i="165"/>
  <c r="R129" i="164"/>
  <c r="S36" i="165" s="1"/>
  <c r="I129" i="164"/>
  <c r="I36" i="165" s="1"/>
  <c r="I37" i="165"/>
  <c r="O129" i="164"/>
  <c r="O36" i="165" s="1"/>
  <c r="F72" i="164"/>
  <c r="H72" i="164" s="1"/>
  <c r="K28" i="165"/>
  <c r="R33" i="165"/>
  <c r="R37" i="165"/>
  <c r="O46" i="164"/>
  <c r="O33" i="164" s="1"/>
  <c r="L129" i="164"/>
  <c r="L36" i="165" s="1"/>
  <c r="R50" i="165"/>
  <c r="I44" i="165"/>
  <c r="R28" i="165"/>
  <c r="S33" i="165"/>
  <c r="S37" i="165"/>
  <c r="S12" i="164"/>
  <c r="I28" i="165"/>
  <c r="S50" i="165"/>
  <c r="N50" i="165"/>
  <c r="S46" i="164"/>
  <c r="S33" i="164" s="1"/>
  <c r="R116" i="164"/>
  <c r="D141" i="164"/>
  <c r="F27" i="165"/>
  <c r="F26" i="165" s="1"/>
  <c r="Q28" i="165"/>
  <c r="R12" i="164"/>
  <c r="P36" i="165"/>
  <c r="S11" i="165"/>
  <c r="L11" i="165"/>
  <c r="D157" i="164"/>
  <c r="F54" i="165" s="1"/>
  <c r="D169" i="164"/>
  <c r="F55" i="165" s="1"/>
  <c r="F177" i="164"/>
  <c r="H177" i="164" s="1"/>
  <c r="P141" i="164"/>
  <c r="F11" i="165"/>
  <c r="K18" i="165"/>
  <c r="K17" i="165" s="1"/>
  <c r="K14" i="165" s="1"/>
  <c r="N28" i="165"/>
  <c r="Q45" i="165"/>
  <c r="F34" i="164"/>
  <c r="H34" i="164" s="1"/>
  <c r="F56" i="164"/>
  <c r="H56" i="164" s="1"/>
  <c r="F145" i="164"/>
  <c r="H145" i="164" s="1"/>
  <c r="E41" i="164"/>
  <c r="D49" i="165"/>
  <c r="F142" i="164"/>
  <c r="H142" i="164" s="1"/>
  <c r="M33" i="165"/>
  <c r="K37" i="165"/>
  <c r="L44" i="165"/>
  <c r="N12" i="164"/>
  <c r="M116" i="164"/>
  <c r="P129" i="164"/>
  <c r="Q36" i="165" s="1"/>
  <c r="K129" i="164"/>
  <c r="K36" i="165" s="1"/>
  <c r="C116" i="164"/>
  <c r="E116" i="164" s="1"/>
  <c r="K116" i="164"/>
  <c r="F126" i="164"/>
  <c r="H126" i="164" s="1"/>
  <c r="O50" i="165"/>
  <c r="F159" i="164"/>
  <c r="H159" i="164" s="1"/>
  <c r="L161" i="164"/>
  <c r="L157" i="164" s="1"/>
  <c r="L54" i="165" s="1"/>
  <c r="N33" i="165"/>
  <c r="N37" i="165"/>
  <c r="E68" i="164"/>
  <c r="P17" i="165"/>
  <c r="P14" i="165" s="1"/>
  <c r="E130" i="164"/>
  <c r="F130" i="164"/>
  <c r="H130" i="164" s="1"/>
  <c r="I45" i="165"/>
  <c r="F13" i="164"/>
  <c r="H13" i="164" s="1"/>
  <c r="I12" i="164"/>
  <c r="I12" i="165"/>
  <c r="Q46" i="164"/>
  <c r="Q33" i="164" s="1"/>
  <c r="L12" i="164"/>
  <c r="E64" i="164"/>
  <c r="L28" i="165"/>
  <c r="I51" i="165"/>
  <c r="G51" i="165" s="1"/>
  <c r="L15" i="165"/>
  <c r="R17" i="165"/>
  <c r="R14" i="165" s="1"/>
  <c r="P50" i="165"/>
  <c r="O17" i="165"/>
  <c r="I46" i="164"/>
  <c r="I19" i="165"/>
  <c r="G19" i="165" s="1"/>
  <c r="N129" i="164"/>
  <c r="N36" i="165" s="1"/>
  <c r="M129" i="164"/>
  <c r="E46" i="165"/>
  <c r="E45" i="165" s="1"/>
  <c r="N46" i="164"/>
  <c r="N33" i="164" s="1"/>
  <c r="Q50" i="165"/>
  <c r="N17" i="165"/>
  <c r="N14" i="165" s="1"/>
  <c r="I25" i="165"/>
  <c r="F76" i="164"/>
  <c r="H76" i="164" s="1"/>
  <c r="E47" i="164"/>
  <c r="E18" i="165"/>
  <c r="L27" i="165"/>
  <c r="L26" i="165" s="1"/>
  <c r="L116" i="164"/>
  <c r="F138" i="164"/>
  <c r="H138" i="164" s="1"/>
  <c r="M141" i="164"/>
  <c r="L46" i="165"/>
  <c r="L45" i="165" s="1"/>
  <c r="K12" i="164"/>
  <c r="K12" i="165"/>
  <c r="K11" i="165" s="1"/>
  <c r="Q33" i="165"/>
  <c r="R46" i="164"/>
  <c r="R33" i="164" s="1"/>
  <c r="F60" i="164"/>
  <c r="H60" i="164" s="1"/>
  <c r="N116" i="164"/>
  <c r="N27" i="165"/>
  <c r="N26" i="165" s="1"/>
  <c r="K44" i="165"/>
  <c r="K33" i="165"/>
  <c r="R26" i="165"/>
  <c r="I16" i="165"/>
  <c r="O12" i="164"/>
  <c r="O12" i="165"/>
  <c r="O11" i="165" s="1"/>
  <c r="F36" i="166"/>
  <c r="F35" i="166" s="1"/>
  <c r="F68" i="164"/>
  <c r="H68" i="164" s="1"/>
  <c r="P33" i="165"/>
  <c r="M15" i="165"/>
  <c r="F176" i="164"/>
  <c r="F117" i="164"/>
  <c r="H117" i="164" s="1"/>
  <c r="D129" i="164"/>
  <c r="E129" i="164" s="1"/>
  <c r="Q11" i="165"/>
  <c r="P12" i="164"/>
  <c r="L22" i="165"/>
  <c r="G22" i="165" s="1"/>
  <c r="F64" i="164"/>
  <c r="H64" i="164" s="1"/>
  <c r="O15" i="165"/>
  <c r="M50" i="165"/>
  <c r="Q12" i="164"/>
  <c r="R11" i="165"/>
  <c r="E27" i="165"/>
  <c r="E26" i="165" s="1"/>
  <c r="E21" i="165"/>
  <c r="F50" i="165"/>
  <c r="F47" i="164"/>
  <c r="H47" i="164" s="1"/>
  <c r="L18" i="165"/>
  <c r="P28" i="165"/>
  <c r="M37" i="165"/>
  <c r="F29" i="164"/>
  <c r="H29" i="164" s="1"/>
  <c r="O141" i="164"/>
  <c r="I141" i="164"/>
  <c r="Q141" i="164"/>
  <c r="O37" i="165"/>
  <c r="K141" i="164"/>
  <c r="R141" i="164"/>
  <c r="P37" i="165"/>
  <c r="M46" i="164"/>
  <c r="M33" i="164" s="1"/>
  <c r="L141" i="164"/>
  <c r="S141" i="164"/>
  <c r="E28" i="165"/>
  <c r="E13" i="164"/>
  <c r="C12" i="164"/>
  <c r="C176" i="164"/>
  <c r="E176" i="164" s="1"/>
  <c r="E50" i="165"/>
  <c r="C141" i="164"/>
  <c r="C50" i="165"/>
  <c r="E126" i="164"/>
  <c r="E76" i="164"/>
  <c r="E72" i="164"/>
  <c r="E22" i="165"/>
  <c r="E56" i="164"/>
  <c r="E34" i="164"/>
  <c r="E29" i="164"/>
  <c r="E11" i="165"/>
  <c r="C10" i="138"/>
  <c r="C36" i="138" s="1"/>
  <c r="D10" i="138"/>
  <c r="D36" i="138" s="1"/>
  <c r="F15" i="138"/>
  <c r="F14" i="138" s="1"/>
  <c r="F24" i="138"/>
  <c r="E70" i="137"/>
  <c r="F79" i="137"/>
  <c r="C84" i="137"/>
  <c r="E33" i="138" s="1"/>
  <c r="E25" i="138" s="1"/>
  <c r="D67" i="137"/>
  <c r="D11" i="137" s="1"/>
  <c r="G32" i="138"/>
  <c r="D79" i="137"/>
  <c r="F13" i="138"/>
  <c r="C17" i="166"/>
  <c r="G14" i="138"/>
  <c r="C14" i="166"/>
  <c r="F32" i="138"/>
  <c r="F67" i="137"/>
  <c r="F34" i="138"/>
  <c r="C67" i="137"/>
  <c r="F19" i="138"/>
  <c r="F17" i="138" s="1"/>
  <c r="E44" i="137"/>
  <c r="E19" i="138"/>
  <c r="E17" i="138" s="1"/>
  <c r="E65" i="137"/>
  <c r="C58" i="137"/>
  <c r="E58" i="137" s="1"/>
  <c r="E59" i="137"/>
  <c r="E15" i="138"/>
  <c r="E14" i="138" s="1"/>
  <c r="E60" i="137"/>
  <c r="C43" i="137"/>
  <c r="E12" i="137"/>
  <c r="S161" i="164"/>
  <c r="S157" i="164" s="1"/>
  <c r="S54" i="165" s="1"/>
  <c r="N170" i="164"/>
  <c r="N169" i="164" s="1"/>
  <c r="N55" i="165" s="1"/>
  <c r="M161" i="164"/>
  <c r="M157" i="164" s="1"/>
  <c r="M54" i="165" s="1"/>
  <c r="I161" i="164"/>
  <c r="I157" i="164" s="1"/>
  <c r="Q161" i="164"/>
  <c r="Q157" i="164" s="1"/>
  <c r="Q54" i="165" s="1"/>
  <c r="R161" i="164"/>
  <c r="R157" i="164" s="1"/>
  <c r="R54" i="165" s="1"/>
  <c r="M170" i="164"/>
  <c r="M169" i="164" s="1"/>
  <c r="M55" i="165" s="1"/>
  <c r="Q170" i="164"/>
  <c r="Q169" i="164" s="1"/>
  <c r="Q55" i="165" s="1"/>
  <c r="R170" i="164"/>
  <c r="R169" i="164" s="1"/>
  <c r="R55" i="165" s="1"/>
  <c r="S170" i="164"/>
  <c r="S169" i="164" s="1"/>
  <c r="S55" i="165" s="1"/>
  <c r="P170" i="164"/>
  <c r="P169" i="164" s="1"/>
  <c r="P55" i="165" s="1"/>
  <c r="F156" i="164"/>
  <c r="H156" i="164" s="1"/>
  <c r="O170" i="164"/>
  <c r="O169" i="164" s="1"/>
  <c r="O55" i="165" s="1"/>
  <c r="L170" i="164"/>
  <c r="L169" i="164" s="1"/>
  <c r="L55" i="165" s="1"/>
  <c r="O161" i="164"/>
  <c r="O157" i="164" s="1"/>
  <c r="O54" i="165" s="1"/>
  <c r="I170" i="164"/>
  <c r="I169" i="164" s="1"/>
  <c r="K161" i="164"/>
  <c r="K157" i="164" s="1"/>
  <c r="K170" i="164"/>
  <c r="K169" i="164" s="1"/>
  <c r="K55" i="165" s="1"/>
  <c r="F167" i="164"/>
  <c r="H167" i="164" s="1"/>
  <c r="F164" i="164"/>
  <c r="H164" i="164" s="1"/>
  <c r="F166" i="164"/>
  <c r="H166" i="164" s="1"/>
  <c r="F165" i="164"/>
  <c r="H165" i="164" s="1"/>
  <c r="F162" i="164"/>
  <c r="H162" i="164" s="1"/>
  <c r="F163" i="164"/>
  <c r="H163" i="164" s="1"/>
  <c r="P161" i="164"/>
  <c r="P157" i="164" s="1"/>
  <c r="P54" i="165" s="1"/>
  <c r="F173" i="164"/>
  <c r="H173" i="164" s="1"/>
  <c r="F168" i="164"/>
  <c r="H168" i="164" s="1"/>
  <c r="F172" i="164"/>
  <c r="H172" i="164" s="1"/>
  <c r="F174" i="164"/>
  <c r="H174" i="164" s="1"/>
  <c r="F171" i="164"/>
  <c r="H171" i="164" s="1"/>
  <c r="N161" i="164"/>
  <c r="N157" i="164" s="1"/>
  <c r="F175" i="164"/>
  <c r="H175" i="164" s="1"/>
  <c r="F155" i="164"/>
  <c r="H155" i="164" s="1"/>
  <c r="I14" i="138" l="1"/>
  <c r="C27" i="166"/>
  <c r="I32" i="138"/>
  <c r="H176" i="164"/>
  <c r="H30" i="165"/>
  <c r="F29" i="166"/>
  <c r="I19" i="138"/>
  <c r="H51" i="165"/>
  <c r="F39" i="166"/>
  <c r="H21" i="165"/>
  <c r="F20" i="166"/>
  <c r="I15" i="138"/>
  <c r="E55" i="165"/>
  <c r="E49" i="165" s="1"/>
  <c r="H24" i="165"/>
  <c r="F23" i="166"/>
  <c r="H22" i="165"/>
  <c r="F21" i="166"/>
  <c r="H19" i="165"/>
  <c r="F19" i="166"/>
  <c r="H23" i="165"/>
  <c r="F22" i="166"/>
  <c r="H31" i="165"/>
  <c r="F30" i="166"/>
  <c r="H32" i="165"/>
  <c r="F31" i="166"/>
  <c r="H29" i="165"/>
  <c r="F28" i="166"/>
  <c r="H13" i="165"/>
  <c r="F44" i="166"/>
  <c r="H57" i="165"/>
  <c r="F43" i="166"/>
  <c r="H56" i="165"/>
  <c r="G18" i="165"/>
  <c r="G33" i="165"/>
  <c r="H33" i="165" s="1"/>
  <c r="G15" i="165"/>
  <c r="G16" i="165"/>
  <c r="F16" i="166" s="1"/>
  <c r="G44" i="165"/>
  <c r="G45" i="165"/>
  <c r="H45" i="165" s="1"/>
  <c r="G37" i="165"/>
  <c r="H37" i="165" s="1"/>
  <c r="I26" i="165"/>
  <c r="G26" i="165" s="1"/>
  <c r="H26" i="165" s="1"/>
  <c r="G27" i="165"/>
  <c r="G46" i="165"/>
  <c r="F34" i="166" s="1"/>
  <c r="G12" i="165"/>
  <c r="F12" i="166" s="1"/>
  <c r="G25" i="165"/>
  <c r="G28" i="165"/>
  <c r="D58" i="165"/>
  <c r="E17" i="165"/>
  <c r="E14" i="165" s="1"/>
  <c r="E10" i="165" s="1"/>
  <c r="C54" i="165"/>
  <c r="C49" i="165" s="1"/>
  <c r="C58" i="165" s="1"/>
  <c r="R11" i="164"/>
  <c r="S11" i="164"/>
  <c r="P10" i="165"/>
  <c r="M14" i="165"/>
  <c r="M10" i="165" s="1"/>
  <c r="E12" i="164"/>
  <c r="F10" i="165"/>
  <c r="L50" i="165"/>
  <c r="L49" i="165" s="1"/>
  <c r="D140" i="164"/>
  <c r="D11" i="164"/>
  <c r="L11" i="164"/>
  <c r="E141" i="164"/>
  <c r="M11" i="164"/>
  <c r="S14" i="165"/>
  <c r="S10" i="165" s="1"/>
  <c r="F116" i="164"/>
  <c r="H116" i="164" s="1"/>
  <c r="N10" i="165"/>
  <c r="F49" i="165"/>
  <c r="O14" i="165"/>
  <c r="O10" i="165" s="1"/>
  <c r="I17" i="165"/>
  <c r="F46" i="164"/>
  <c r="H46" i="164" s="1"/>
  <c r="I11" i="165"/>
  <c r="G11" i="165" s="1"/>
  <c r="H11" i="165" s="1"/>
  <c r="O11" i="164"/>
  <c r="I50" i="165"/>
  <c r="F12" i="164"/>
  <c r="H12" i="164" s="1"/>
  <c r="E46" i="164"/>
  <c r="R10" i="165"/>
  <c r="P11" i="164"/>
  <c r="K10" i="165"/>
  <c r="N11" i="164"/>
  <c r="K11" i="164"/>
  <c r="Q11" i="164"/>
  <c r="Q10" i="165"/>
  <c r="I33" i="164"/>
  <c r="F33" i="164" s="1"/>
  <c r="L17" i="165"/>
  <c r="L14" i="165" s="1"/>
  <c r="L10" i="165" s="1"/>
  <c r="M36" i="165"/>
  <c r="G36" i="165" s="1"/>
  <c r="H36" i="165" s="1"/>
  <c r="F129" i="164"/>
  <c r="H129" i="164" s="1"/>
  <c r="C140" i="164"/>
  <c r="C33" i="164"/>
  <c r="E33" i="164" s="1"/>
  <c r="F25" i="138"/>
  <c r="F10" i="138"/>
  <c r="G25" i="138"/>
  <c r="C79" i="137"/>
  <c r="E79" i="137" s="1"/>
  <c r="G17" i="138"/>
  <c r="F11" i="137"/>
  <c r="D10" i="137"/>
  <c r="D89" i="137" s="1"/>
  <c r="E89" i="137" s="1"/>
  <c r="C10" i="166"/>
  <c r="E43" i="137"/>
  <c r="C11" i="137"/>
  <c r="C10" i="137" s="1"/>
  <c r="C89" i="137" s="1"/>
  <c r="E13" i="138"/>
  <c r="O49" i="165"/>
  <c r="S49" i="165"/>
  <c r="R140" i="164"/>
  <c r="M49" i="165"/>
  <c r="R49" i="165"/>
  <c r="Q140" i="164"/>
  <c r="Q49" i="165"/>
  <c r="S140" i="164"/>
  <c r="I140" i="164"/>
  <c r="L140" i="164"/>
  <c r="F170" i="164"/>
  <c r="H170" i="164" s="1"/>
  <c r="P140" i="164"/>
  <c r="P49" i="165"/>
  <c r="O140" i="164"/>
  <c r="M140" i="164"/>
  <c r="F161" i="164"/>
  <c r="H161" i="164" s="1"/>
  <c r="K140" i="164"/>
  <c r="K54" i="165"/>
  <c r="K49" i="165" s="1"/>
  <c r="F141" i="164"/>
  <c r="H141" i="164" s="1"/>
  <c r="N54" i="165"/>
  <c r="N49" i="165" s="1"/>
  <c r="N140" i="164"/>
  <c r="I55" i="165"/>
  <c r="F169" i="164"/>
  <c r="H169" i="164" s="1"/>
  <c r="I54" i="165"/>
  <c r="F157" i="164"/>
  <c r="H157" i="164" s="1"/>
  <c r="H15" i="165" l="1"/>
  <c r="F15" i="166"/>
  <c r="H27" i="165"/>
  <c r="F26" i="166"/>
  <c r="F25" i="166" s="1"/>
  <c r="H44" i="165"/>
  <c r="F32" i="166"/>
  <c r="H18" i="165"/>
  <c r="F18" i="166"/>
  <c r="E10" i="138"/>
  <c r="I13" i="138"/>
  <c r="C24" i="166"/>
  <c r="C49" i="166" s="1"/>
  <c r="I25" i="138"/>
  <c r="H33" i="164"/>
  <c r="H25" i="165"/>
  <c r="F24" i="166"/>
  <c r="I17" i="138"/>
  <c r="F33" i="166"/>
  <c r="H46" i="165"/>
  <c r="H16" i="165"/>
  <c r="H28" i="165"/>
  <c r="H53" i="165"/>
  <c r="F11" i="166"/>
  <c r="H12" i="165"/>
  <c r="F38" i="166"/>
  <c r="G50" i="165"/>
  <c r="H50" i="165" s="1"/>
  <c r="I14" i="165"/>
  <c r="G14" i="165" s="1"/>
  <c r="H14" i="165" s="1"/>
  <c r="G17" i="165"/>
  <c r="H17" i="165" s="1"/>
  <c r="G55" i="165"/>
  <c r="G54" i="165"/>
  <c r="H54" i="165" s="1"/>
  <c r="F27" i="166"/>
  <c r="F17" i="166"/>
  <c r="P58" i="165"/>
  <c r="M58" i="165"/>
  <c r="N58" i="165"/>
  <c r="M10" i="164"/>
  <c r="R10" i="164"/>
  <c r="K58" i="165"/>
  <c r="S10" i="164"/>
  <c r="S58" i="165"/>
  <c r="D10" i="164"/>
  <c r="E140" i="164"/>
  <c r="K10" i="164"/>
  <c r="F58" i="165"/>
  <c r="L10" i="164"/>
  <c r="O58" i="165"/>
  <c r="Q10" i="164"/>
  <c r="R58" i="165"/>
  <c r="O10" i="164"/>
  <c r="P10" i="164"/>
  <c r="E58" i="165"/>
  <c r="L58" i="165"/>
  <c r="I11" i="164"/>
  <c r="F11" i="164" s="1"/>
  <c r="Q58" i="165"/>
  <c r="N10" i="164"/>
  <c r="C11" i="164"/>
  <c r="E11" i="164" s="1"/>
  <c r="E36" i="138"/>
  <c r="I10" i="138"/>
  <c r="F36" i="138"/>
  <c r="F10" i="137"/>
  <c r="C48" i="166"/>
  <c r="G10" i="138"/>
  <c r="E11" i="137"/>
  <c r="E10" i="137"/>
  <c r="F140" i="164"/>
  <c r="H140" i="164" s="1"/>
  <c r="I49" i="165"/>
  <c r="G49" i="165" s="1"/>
  <c r="H49" i="165" s="1"/>
  <c r="C50" i="166" l="1"/>
  <c r="I10" i="165"/>
  <c r="G10" i="165" s="1"/>
  <c r="H10" i="165" s="1"/>
  <c r="G88" i="137"/>
  <c r="F89" i="137"/>
  <c r="H11" i="164"/>
  <c r="C45" i="166"/>
  <c r="F42" i="166"/>
  <c r="F37" i="166" s="1"/>
  <c r="D49" i="166" s="1"/>
  <c r="H55" i="165"/>
  <c r="F41" i="166"/>
  <c r="I10" i="164"/>
  <c r="F10" i="164" s="1"/>
  <c r="F14" i="166"/>
  <c r="C10" i="164"/>
  <c r="E10" i="164" s="1"/>
  <c r="G11" i="137"/>
  <c r="G36" i="138"/>
  <c r="G50" i="137"/>
  <c r="G71" i="137"/>
  <c r="G77" i="137"/>
  <c r="G59" i="137"/>
  <c r="G72" i="137"/>
  <c r="G37" i="137"/>
  <c r="G31" i="137"/>
  <c r="G60" i="137"/>
  <c r="G33" i="137"/>
  <c r="G48" i="137"/>
  <c r="G51" i="137"/>
  <c r="G43" i="137"/>
  <c r="G57" i="137"/>
  <c r="G16" i="137"/>
  <c r="G21" i="137"/>
  <c r="G26" i="137"/>
  <c r="G74" i="137"/>
  <c r="G28" i="137"/>
  <c r="G20" i="137"/>
  <c r="G15" i="137"/>
  <c r="G10" i="137"/>
  <c r="G34" i="137"/>
  <c r="G54" i="137"/>
  <c r="G12" i="137"/>
  <c r="G41" i="137"/>
  <c r="G84" i="137"/>
  <c r="G78" i="137"/>
  <c r="G85" i="137"/>
  <c r="G73" i="137"/>
  <c r="G27" i="137"/>
  <c r="G39" i="137"/>
  <c r="G36" i="137"/>
  <c r="G52" i="137"/>
  <c r="G69" i="137"/>
  <c r="G66" i="137"/>
  <c r="G24" i="137"/>
  <c r="G19" i="137"/>
  <c r="G35" i="137"/>
  <c r="G68" i="137"/>
  <c r="G49" i="137"/>
  <c r="G13" i="137"/>
  <c r="G63" i="137"/>
  <c r="G44" i="137"/>
  <c r="G86" i="137"/>
  <c r="G18" i="137"/>
  <c r="G22" i="137"/>
  <c r="G58" i="137"/>
  <c r="G56" i="137"/>
  <c r="G30" i="137"/>
  <c r="G29" i="137"/>
  <c r="G64" i="137"/>
  <c r="G87" i="137"/>
  <c r="G38" i="137"/>
  <c r="G47" i="137"/>
  <c r="G53" i="137"/>
  <c r="G61" i="137"/>
  <c r="G89" i="137"/>
  <c r="G80" i="137"/>
  <c r="G46" i="137"/>
  <c r="G81" i="137"/>
  <c r="G25" i="137"/>
  <c r="G70" i="137"/>
  <c r="G45" i="137"/>
  <c r="G83" i="137"/>
  <c r="G42" i="137"/>
  <c r="G65" i="137"/>
  <c r="G17" i="137"/>
  <c r="G14" i="137"/>
  <c r="G76" i="137"/>
  <c r="G55" i="137"/>
  <c r="G62" i="137"/>
  <c r="G23" i="137"/>
  <c r="G40" i="137"/>
  <c r="G32" i="137"/>
  <c r="G75" i="137"/>
  <c r="G82" i="137"/>
  <c r="G79" i="137"/>
  <c r="G67" i="137"/>
  <c r="I58" i="165"/>
  <c r="G58" i="165" s="1"/>
  <c r="H58" i="165" s="1"/>
  <c r="L2" i="160"/>
  <c r="F10" i="166" l="1"/>
  <c r="D48" i="166" s="1"/>
  <c r="D50" i="166" s="1"/>
  <c r="H20" i="138"/>
  <c r="H23" i="138"/>
  <c r="H36" i="138"/>
  <c r="H35" i="138"/>
  <c r="H33" i="138"/>
  <c r="H29" i="138"/>
  <c r="H27" i="138"/>
  <c r="H24" i="138"/>
  <c r="H16" i="138"/>
  <c r="H26" i="138"/>
  <c r="H19" i="138"/>
  <c r="H22" i="138"/>
  <c r="H11" i="138"/>
  <c r="H13" i="138"/>
  <c r="H31" i="138"/>
  <c r="H34" i="138"/>
  <c r="H18" i="138"/>
  <c r="H28" i="138"/>
  <c r="H12" i="138"/>
  <c r="H15" i="138"/>
  <c r="H30" i="138"/>
  <c r="H21" i="138"/>
  <c r="H32" i="138"/>
  <c r="H14" i="138"/>
  <c r="H25" i="138"/>
  <c r="H17" i="138"/>
  <c r="H10" i="138"/>
  <c r="G140" i="164"/>
  <c r="H10" i="164"/>
  <c r="G10" i="164"/>
  <c r="G52" i="164"/>
  <c r="G62" i="164"/>
  <c r="G59" i="164"/>
  <c r="G136" i="164"/>
  <c r="G58" i="164"/>
  <c r="G15" i="164"/>
  <c r="G73" i="164"/>
  <c r="G115" i="164"/>
  <c r="G17" i="164"/>
  <c r="G38" i="164"/>
  <c r="G63" i="164"/>
  <c r="G83" i="164"/>
  <c r="G100" i="164"/>
  <c r="G118" i="164"/>
  <c r="G143" i="164"/>
  <c r="G37" i="164"/>
  <c r="G67" i="164"/>
  <c r="G107" i="164"/>
  <c r="G158" i="164"/>
  <c r="G32" i="164"/>
  <c r="G55" i="164"/>
  <c r="G80" i="164"/>
  <c r="G96" i="164"/>
  <c r="G113" i="164"/>
  <c r="G135" i="164"/>
  <c r="G178" i="164"/>
  <c r="G82" i="164"/>
  <c r="G23" i="164"/>
  <c r="G45" i="164"/>
  <c r="G71" i="164"/>
  <c r="G89" i="164"/>
  <c r="G106" i="164"/>
  <c r="G125" i="164"/>
  <c r="G150" i="164"/>
  <c r="G103" i="164"/>
  <c r="G31" i="164"/>
  <c r="G95" i="164"/>
  <c r="G134" i="164"/>
  <c r="G48" i="164"/>
  <c r="G147" i="164"/>
  <c r="G50" i="164"/>
  <c r="G109" i="164"/>
  <c r="G153" i="164"/>
  <c r="G19" i="164"/>
  <c r="G66" i="164"/>
  <c r="G146" i="164"/>
  <c r="G24" i="164"/>
  <c r="G86" i="164"/>
  <c r="G127" i="164"/>
  <c r="G21" i="164"/>
  <c r="G43" i="164"/>
  <c r="G69" i="164"/>
  <c r="G87" i="164"/>
  <c r="G104" i="164"/>
  <c r="G123" i="164"/>
  <c r="G148" i="164"/>
  <c r="G20" i="164"/>
  <c r="G78" i="164"/>
  <c r="G122" i="164"/>
  <c r="G18" i="164"/>
  <c r="G39" i="164"/>
  <c r="G65" i="164"/>
  <c r="G84" i="164"/>
  <c r="G101" i="164"/>
  <c r="G119" i="164"/>
  <c r="G144" i="164"/>
  <c r="G30" i="164"/>
  <c r="G111" i="164"/>
  <c r="G27" i="164"/>
  <c r="G51" i="164"/>
  <c r="G77" i="164"/>
  <c r="G93" i="164"/>
  <c r="G110" i="164"/>
  <c r="G132" i="164"/>
  <c r="G154" i="164"/>
  <c r="G61" i="164"/>
  <c r="G54" i="164"/>
  <c r="G79" i="164"/>
  <c r="G112" i="164"/>
  <c r="G160" i="164"/>
  <c r="G99" i="164"/>
  <c r="G26" i="164"/>
  <c r="G92" i="164"/>
  <c r="G131" i="164"/>
  <c r="G40" i="164"/>
  <c r="G85" i="164"/>
  <c r="G120" i="164"/>
  <c r="G98" i="164"/>
  <c r="G42" i="164"/>
  <c r="G94" i="164"/>
  <c r="G139" i="164"/>
  <c r="G25" i="164"/>
  <c r="G49" i="164"/>
  <c r="G74" i="164"/>
  <c r="G91" i="164"/>
  <c r="G108" i="164"/>
  <c r="G128" i="164"/>
  <c r="G152" i="164"/>
  <c r="G36" i="164"/>
  <c r="G90" i="164"/>
  <c r="G133" i="164"/>
  <c r="G22" i="164"/>
  <c r="G44" i="164"/>
  <c r="G70" i="164"/>
  <c r="G88" i="164"/>
  <c r="G105" i="164"/>
  <c r="G124" i="164"/>
  <c r="G149" i="164"/>
  <c r="G28" i="164"/>
  <c r="G14" i="164"/>
  <c r="G35" i="164"/>
  <c r="G57" i="164"/>
  <c r="G81" i="164"/>
  <c r="G97" i="164"/>
  <c r="G114" i="164"/>
  <c r="G137" i="164"/>
  <c r="G16" i="164"/>
  <c r="G151" i="164"/>
  <c r="G75" i="164"/>
  <c r="G53" i="164"/>
  <c r="G102" i="164"/>
  <c r="G162" i="164"/>
  <c r="G13" i="164"/>
  <c r="G176" i="164"/>
  <c r="G174" i="164"/>
  <c r="G64" i="164"/>
  <c r="G167" i="164"/>
  <c r="G175" i="164"/>
  <c r="G156" i="164"/>
  <c r="G130" i="164"/>
  <c r="G155" i="164"/>
  <c r="G173" i="164"/>
  <c r="G126" i="164"/>
  <c r="G145" i="164"/>
  <c r="G121" i="164"/>
  <c r="G166" i="164"/>
  <c r="G159" i="164"/>
  <c r="G76" i="164"/>
  <c r="G172" i="164"/>
  <c r="G117" i="164"/>
  <c r="G34" i="164"/>
  <c r="G168" i="164"/>
  <c r="G56" i="164"/>
  <c r="G138" i="164"/>
  <c r="G171" i="164"/>
  <c r="G177" i="164"/>
  <c r="G165" i="164"/>
  <c r="G29" i="164"/>
  <c r="G142" i="164"/>
  <c r="G41" i="164"/>
  <c r="G163" i="164"/>
  <c r="G68" i="164"/>
  <c r="G72" i="164"/>
  <c r="G60" i="164"/>
  <c r="G47" i="164"/>
  <c r="G164" i="164"/>
  <c r="G46" i="164"/>
  <c r="G33" i="164"/>
  <c r="G157" i="164"/>
  <c r="G161" i="164"/>
  <c r="G116" i="164"/>
  <c r="G141" i="164"/>
  <c r="G169" i="164"/>
  <c r="G12" i="164"/>
  <c r="G129" i="164"/>
  <c r="G170" i="164"/>
  <c r="G11" i="164"/>
  <c r="F45" i="166"/>
</calcChain>
</file>

<file path=xl/sharedStrings.xml><?xml version="1.0" encoding="utf-8"?>
<sst xmlns="http://schemas.openxmlformats.org/spreadsheetml/2006/main" count="14751" uniqueCount="1376">
  <si>
    <t>5.2.1.1</t>
  </si>
  <si>
    <t xml:space="preserve">PREVISÃO INICIAL DA RECEITA  </t>
  </si>
  <si>
    <t>5.2.1.1.1</t>
  </si>
  <si>
    <t>5.2.1.1.1.03</t>
  </si>
  <si>
    <t xml:space="preserve">COTA PARTE </t>
  </si>
  <si>
    <t>5.2.1.1.1.03.01</t>
  </si>
  <si>
    <t>5.2.1.1.1.03.02</t>
  </si>
  <si>
    <t>5.2.1.1.1.03.03</t>
  </si>
  <si>
    <t>5.2.1.1.1.03.04</t>
  </si>
  <si>
    <t>5.2.1.1.1.03.05</t>
  </si>
  <si>
    <t>5.2.1.1.1.03.06</t>
  </si>
  <si>
    <t>5.2.1.1.1.03.07</t>
  </si>
  <si>
    <t>5.2.1.1.1.03.08</t>
  </si>
  <si>
    <t>5.2.1.1.1.03.09</t>
  </si>
  <si>
    <t>5.2.1.1.1.03.10</t>
  </si>
  <si>
    <t>5.2.1.1.1.03.11</t>
  </si>
  <si>
    <t>5.2.1.1.1.03.12</t>
  </si>
  <si>
    <t>5.2.1.1.1.03.13</t>
  </si>
  <si>
    <t>5.2.1.1.1.03.14</t>
  </si>
  <si>
    <t>5.2.1.1.1.03.15</t>
  </si>
  <si>
    <t>5.2.1.1.1.03.16</t>
  </si>
  <si>
    <t>5.2.1.1.1.03.17</t>
  </si>
  <si>
    <t>5.2.1.1.1.03.18</t>
  </si>
  <si>
    <t>5.2.1.1.1.03.19</t>
  </si>
  <si>
    <t>5.2.1.1.1.03.20</t>
  </si>
  <si>
    <t>5.2.1.1.1.03.21</t>
  </si>
  <si>
    <t>5.2.1.1.1.03.22</t>
  </si>
  <si>
    <t>5.2.1.1.1.03.23</t>
  </si>
  <si>
    <t>5.2.1.1.1.03.24</t>
  </si>
  <si>
    <t>5.2.1.1.1.03.25</t>
  </si>
  <si>
    <t>5.2.1.1.1.03.26</t>
  </si>
  <si>
    <t>5.2.1.1.1.03.27</t>
  </si>
  <si>
    <t>5.2.1.1.1.04</t>
  </si>
  <si>
    <t>RECEITA PATRIMONIAL</t>
  </si>
  <si>
    <t>5.2.1.1.1.04.01</t>
  </si>
  <si>
    <t xml:space="preserve">RECEITAS IMOBILIÁRIAS </t>
  </si>
  <si>
    <t>5.2.1.1.1.04.01.01</t>
  </si>
  <si>
    <t xml:space="preserve">Aluguéis </t>
  </si>
  <si>
    <t>5.2.1.1.1.05</t>
  </si>
  <si>
    <t>RECEITA DE SERVICOS</t>
  </si>
  <si>
    <t>5.2.1.1.1.05.07</t>
  </si>
  <si>
    <t>RECEITAS DIVERSAS DE SERVIÇOS</t>
  </si>
  <si>
    <t>5.2.1.1.1.05.07.01</t>
  </si>
  <si>
    <t xml:space="preserve">Revistas </t>
  </si>
  <si>
    <t>5.2.1.1.1.05.07.02</t>
  </si>
  <si>
    <t xml:space="preserve">Livros </t>
  </si>
  <si>
    <t>5.2.1.1.1.05.07.03</t>
  </si>
  <si>
    <t xml:space="preserve">Publicações Diversas </t>
  </si>
  <si>
    <t>5.2.1.1.1.05.07.04</t>
  </si>
  <si>
    <t xml:space="preserve">Botons </t>
  </si>
  <si>
    <t>5.2.1.1.1.05.07.05</t>
  </si>
  <si>
    <t xml:space="preserve">Apostilas </t>
  </si>
  <si>
    <t>5.2.1.1.1.05.07.06</t>
  </si>
  <si>
    <t xml:space="preserve">Publicidade </t>
  </si>
  <si>
    <t>5.2.1.1.1.05.07.07</t>
  </si>
  <si>
    <t xml:space="preserve">Receita de Ônus de Sucumbência </t>
  </si>
  <si>
    <t>5.2.1.1.1.05.07.08</t>
  </si>
  <si>
    <t xml:space="preserve">Custas Processuais </t>
  </si>
  <si>
    <t>5.2.1.1.1.05.07.09</t>
  </si>
  <si>
    <t xml:space="preserve">Direitos Autorais </t>
  </si>
  <si>
    <t>5.2.1.1.1.05.07.10</t>
  </si>
  <si>
    <t xml:space="preserve">Inscrições </t>
  </si>
  <si>
    <t>5.2.1.1.1.05.07.11</t>
  </si>
  <si>
    <t xml:space="preserve">Recuperação Com Custos de Cobrança </t>
  </si>
  <si>
    <t>5.2.1.1.1.05.07.12</t>
  </si>
  <si>
    <t xml:space="preserve">Recuperação de Despesas Postais </t>
  </si>
  <si>
    <t>5.2.1.1.1.05.07.13</t>
  </si>
  <si>
    <t xml:space="preserve">Fotocópias </t>
  </si>
  <si>
    <t>5.2.1.1.1.06</t>
  </si>
  <si>
    <t xml:space="preserve">FINANCEIRAS </t>
  </si>
  <si>
    <t>5.2.1.1.1.06.05</t>
  </si>
  <si>
    <t xml:space="preserve">ATUALIZAÇÃO MONETÁRIA </t>
  </si>
  <si>
    <t>5.2.1.1.1.06.05.07</t>
  </si>
  <si>
    <t>5.2.1.1.1.06.05.07.001</t>
  </si>
  <si>
    <t>5.2.1.1.1.06.05.07.002</t>
  </si>
  <si>
    <t>Títulos do Tesouro Nacional</t>
  </si>
  <si>
    <t>5.2.1.1.1.06.05.07.003</t>
  </si>
  <si>
    <t>5.2.1.1.1.06.05.07.004</t>
  </si>
  <si>
    <t>5.2.1.1.1.07</t>
  </si>
  <si>
    <t>TRANSFERENCIAS CORRENTES</t>
  </si>
  <si>
    <t>5.2.1.1.1.07.01</t>
  </si>
  <si>
    <t>5.2.1.1.1.08</t>
  </si>
  <si>
    <t>OUTRAS RECEITAS CORRENTES</t>
  </si>
  <si>
    <t>5.2.1.1.1.08.01</t>
  </si>
  <si>
    <t>DÍVIDA ATIVA</t>
  </si>
  <si>
    <t>5.2.1.1.1.08.01.02</t>
  </si>
  <si>
    <t>5.2.1.1.1.08.03</t>
  </si>
  <si>
    <t xml:space="preserve">INDENIZAÇÕES E RESTITUIÇÕES </t>
  </si>
  <si>
    <t>5.2.1.1.1.08.03.01</t>
  </si>
  <si>
    <t xml:space="preserve">Indenizações </t>
  </si>
  <si>
    <t>5.2.1.1.1.08.03.02</t>
  </si>
  <si>
    <t xml:space="preserve">Restituições </t>
  </si>
  <si>
    <t>5.2.1.1.1.08.05</t>
  </si>
  <si>
    <t>PARTICIPAÇÕES E DIVIDENDOS</t>
  </si>
  <si>
    <t>5.2.1.1.1.08.05.01</t>
  </si>
  <si>
    <t>Dividendos</t>
  </si>
  <si>
    <t>5.2.1.1.1.08.06</t>
  </si>
  <si>
    <t>5.2.1.1.1.08.06.01</t>
  </si>
  <si>
    <t>RECEITA DE DEVOLUÇÃO</t>
  </si>
  <si>
    <t>5.2.1.1.2</t>
  </si>
  <si>
    <t>5.2.1.1.2.01</t>
  </si>
  <si>
    <t>5.2.1.1.2.01.01</t>
  </si>
  <si>
    <t xml:space="preserve">EMPRESTIMOS TOMADOS </t>
  </si>
  <si>
    <t>5.2.1.1.2.02</t>
  </si>
  <si>
    <t>ALIENACAO DE BENS</t>
  </si>
  <si>
    <t>5.2.1.1.2.02.01</t>
  </si>
  <si>
    <t xml:space="preserve">ALIENAÇÕES DE BENS MÓVEIS </t>
  </si>
  <si>
    <t>5.2.1.1.2.02.02</t>
  </si>
  <si>
    <t xml:space="preserve">ALIENAÇÕES DE BENS IMÓVEIS </t>
  </si>
  <si>
    <t>5.2.1.1.2.02.03</t>
  </si>
  <si>
    <t xml:space="preserve">ALIENAÇÕES DE TÍTULOS E AÇÕES </t>
  </si>
  <si>
    <t>5.2.1.1.2.03</t>
  </si>
  <si>
    <t>5.2.1.1.2.03.01</t>
  </si>
  <si>
    <t>5.2.1.1.2.04</t>
  </si>
  <si>
    <t>TRANSFERÊNCIAS DE CAPITAL</t>
  </si>
  <si>
    <t>5.2.1.1.2.04.01</t>
  </si>
  <si>
    <t>TRANSFERÊNCIAS</t>
  </si>
  <si>
    <t>5.2.1.1.2.04.01.01</t>
  </si>
  <si>
    <t>5.2.1.1.2.05</t>
  </si>
  <si>
    <t>OUTRAS RECEITAS DE CAPITAL</t>
  </si>
  <si>
    <t>SALDO DE EXERCÍCIOS</t>
  </si>
  <si>
    <t>5.2.1.2.1.09</t>
  </si>
  <si>
    <t>5.2.2.1</t>
  </si>
  <si>
    <t>DOTAÇÃO ORÇAMENTÁRIA</t>
  </si>
  <si>
    <t>5.2.2.1.1</t>
  </si>
  <si>
    <t>5.2.2.1.1.01</t>
  </si>
  <si>
    <t>PESSOAL E ENCARGOS SOCIAIS</t>
  </si>
  <si>
    <t>5.2.2.1.1.01.01</t>
  </si>
  <si>
    <t>REMUNERAÇÃO PESSOAL</t>
  </si>
  <si>
    <t>5.2.2.1.1.01.01.01</t>
  </si>
  <si>
    <t>5.2.2.1.1.01.01.02</t>
  </si>
  <si>
    <t>5.2.2.1.1.01.01.03</t>
  </si>
  <si>
    <t>5.2.2.1.1.01.01.04</t>
  </si>
  <si>
    <t>5.2.2.1.1.01.01.05</t>
  </si>
  <si>
    <t>5.2.2.1.1.01.01.06</t>
  </si>
  <si>
    <t>5.2.2.1.1.01.01.07</t>
  </si>
  <si>
    <t>5.2.2.1.1.01.01.08</t>
  </si>
  <si>
    <t>5.2.2.1.1.01.01.09</t>
  </si>
  <si>
    <t>5.2.2.1.1.01.01.10</t>
  </si>
  <si>
    <t>5.2.2.1.1.01.01.11</t>
  </si>
  <si>
    <t>5.2.2.1.1.01.01.12</t>
  </si>
  <si>
    <t>5.2.2.1.1.01.01.13</t>
  </si>
  <si>
    <t>5.2.2.1.1.01.01.14</t>
  </si>
  <si>
    <t>5.2.2.1.1.01.01.15</t>
  </si>
  <si>
    <t>Férias</t>
  </si>
  <si>
    <t>5.2.2.1.1.01.02</t>
  </si>
  <si>
    <t>ENCARGOS PATRONAIS</t>
  </si>
  <si>
    <t>5.2.2.1.1.01.02.01</t>
  </si>
  <si>
    <t>5.2.2.1.1.01.02.03</t>
  </si>
  <si>
    <t>FGTS</t>
  </si>
  <si>
    <t>5.2.2.1.1.01.02.04</t>
  </si>
  <si>
    <t>5.2.2.1.1.04</t>
  </si>
  <si>
    <t>OUTRAS DESPESAS CORRENTES</t>
  </si>
  <si>
    <t>5.2.2.1.1.04.01</t>
  </si>
  <si>
    <t>BENEFÍCIOS A PESSOAL</t>
  </si>
  <si>
    <t>5.2.2.1.1.04.01.01</t>
  </si>
  <si>
    <t>5.2.2.1.1.04.01.02</t>
  </si>
  <si>
    <t>5.2.2.1.1.04.01.03</t>
  </si>
  <si>
    <t>5.2.2.1.1.04.01.04</t>
  </si>
  <si>
    <t>5.2.2.1.1.04.01.05</t>
  </si>
  <si>
    <t>Previdência Complementar</t>
  </si>
  <si>
    <t>5.2.2.1.1.04.02</t>
  </si>
  <si>
    <t>BENEFÍCIOS ASSISTENCIAIS</t>
  </si>
  <si>
    <t>5.2.2.1.1.04.02.01</t>
  </si>
  <si>
    <t>5.2.2.1.1.04.02.04</t>
  </si>
  <si>
    <t>5.2.2.1.1.04.02.05</t>
  </si>
  <si>
    <t>Auxílio Funeral</t>
  </si>
  <si>
    <t>5.2.2.1.1.04.03</t>
  </si>
  <si>
    <t xml:space="preserve">USO DE BENS E SERVIÇOS </t>
  </si>
  <si>
    <t>5.2.2.1.1.04.03.01</t>
  </si>
  <si>
    <t>MATERIAL DE CONSUMO</t>
  </si>
  <si>
    <t>5.2.2.1.1.04.03.01.001</t>
  </si>
  <si>
    <t>5.2.2.1.1.04.03.01.002</t>
  </si>
  <si>
    <t>5.2.2.1.1.04.03.01.004</t>
  </si>
  <si>
    <t>5.2.2.1.1.04.03.01.006</t>
  </si>
  <si>
    <t>5.2.2.1.1.04.03.01.008</t>
  </si>
  <si>
    <t>5.2.2.1.1.04.03.01.009</t>
  </si>
  <si>
    <t>5.2.2.1.1.04.03.01.011</t>
  </si>
  <si>
    <t>5.2.2.1.1.04.03.01.012</t>
  </si>
  <si>
    <t>5.2.2.1.1.04.03.01.015</t>
  </si>
  <si>
    <t>5.2.2.1.1.04.03.02</t>
  </si>
  <si>
    <t xml:space="preserve">DESPESAS COM VEÍCULOS </t>
  </si>
  <si>
    <t>5.2.2.1.1.04.03.02.001</t>
  </si>
  <si>
    <t>5.2.2.1.1.04.03.03</t>
  </si>
  <si>
    <t>5.2.2.1.1.04.03.04</t>
  </si>
  <si>
    <t>5.2.2.1.1.04.03.04.004</t>
  </si>
  <si>
    <t>5.2.2.1.1.04.03.04.025</t>
  </si>
  <si>
    <t>5.2.2.1.1.04.05</t>
  </si>
  <si>
    <t>DIÁRIAS</t>
  </si>
  <si>
    <t>5.2.2.1.1.04.05.01</t>
  </si>
  <si>
    <t>5.2.2.1.1.04.05.02</t>
  </si>
  <si>
    <t>5.2.2.1.1.04.05.03</t>
  </si>
  <si>
    <t>5.2.2.1.1.04.06</t>
  </si>
  <si>
    <t>5.2.2.1.1.04.06.01</t>
  </si>
  <si>
    <t>5.2.2.1.1.04.06.02</t>
  </si>
  <si>
    <t>5.2.2.1.1.04.06.03</t>
  </si>
  <si>
    <t>5.2.2.1.1.04.07</t>
  </si>
  <si>
    <t>5.2.2.1.1.04.08</t>
  </si>
  <si>
    <t>5.2.2.1.1.04.08.01</t>
  </si>
  <si>
    <t>5.2.2.1.1.04.08.02</t>
  </si>
  <si>
    <t>5.2.2.1.1.04.08.03</t>
  </si>
  <si>
    <t>5.2.2.1.1.04.09</t>
  </si>
  <si>
    <t>5.2.2.1.1.04.09.01</t>
  </si>
  <si>
    <t>5.2.2.1.1.04.09.02</t>
  </si>
  <si>
    <t>5.2.2.1.1.04.09.04</t>
  </si>
  <si>
    <t>5.2.2.1.1.04.09.05</t>
  </si>
  <si>
    <t>5.2.2.1.1.04.09.06</t>
  </si>
  <si>
    <t>5.2.2.1.1.04.09.08</t>
  </si>
  <si>
    <t>5.2.2.1.1.04.09.09</t>
  </si>
  <si>
    <t>5.2.2.1.1.04.09.10</t>
  </si>
  <si>
    <t>5.2.2.1.1.04.09.11</t>
  </si>
  <si>
    <t>5.2.2.1.1.04.09.12</t>
  </si>
  <si>
    <t>5.2.2.1.1.04.09.13</t>
  </si>
  <si>
    <t>5.2.2.1.1.04.09.14</t>
  </si>
  <si>
    <t>5.2.2.1.1.04.09.18</t>
  </si>
  <si>
    <t>5.2.2.1.1.04.09.21</t>
  </si>
  <si>
    <t>5.2.2.1.1.04.09.22</t>
  </si>
  <si>
    <t>5.2.2.1.1.04.09.23</t>
  </si>
  <si>
    <t>5.2.2.1.1.04.09.24</t>
  </si>
  <si>
    <t>5.2.2.1.1.04.09.25</t>
  </si>
  <si>
    <t>5.2.2.1.1.04.09.26</t>
  </si>
  <si>
    <t>5.2.2.1.1.04.09.28</t>
  </si>
  <si>
    <t>5.2.2.1.1.04.09.29</t>
  </si>
  <si>
    <t>5.2.2.1.1.04.09.30</t>
  </si>
  <si>
    <t>5.2.2.1.1.04.09.31</t>
  </si>
  <si>
    <t>5.2.2.1.1.04.09.32</t>
  </si>
  <si>
    <t>5.2.2.1.1.04.09.33</t>
  </si>
  <si>
    <t>5.2.2.1.1.04.09.35</t>
  </si>
  <si>
    <t>5.2.2.1.1.04.09.36</t>
  </si>
  <si>
    <t>5.2.2.1.1.04.09.37</t>
  </si>
  <si>
    <t>5.2.2.1.1.04.09.40</t>
  </si>
  <si>
    <t>5.2.2.1.1.04.09.44</t>
  </si>
  <si>
    <t>5.2.2.1.1.04.09.47</t>
  </si>
  <si>
    <t>5.2.2.1.1.04.09.49</t>
  </si>
  <si>
    <t>5.2.2.1.1.04.09.50</t>
  </si>
  <si>
    <t>5.2.2.1.1.04.09.51</t>
  </si>
  <si>
    <t>5.2.2.1.1.04.09.52</t>
  </si>
  <si>
    <t>Serviços de Brigada de Incêndio</t>
  </si>
  <si>
    <t>5.2.2.1.1.05</t>
  </si>
  <si>
    <t xml:space="preserve">TRIBUTÁRIAS E CONTRIBUTIVAS </t>
  </si>
  <si>
    <t>5.2.2.1.1.05.01</t>
  </si>
  <si>
    <t xml:space="preserve">TRIBUTOS </t>
  </si>
  <si>
    <t>5.2.2.1.1.05.02</t>
  </si>
  <si>
    <t>5.2.2.1.1.06</t>
  </si>
  <si>
    <t xml:space="preserve">DEMAIS DESPESAS CORRENTES </t>
  </si>
  <si>
    <t>5.2.2.1.1.06.01</t>
  </si>
  <si>
    <t>5.2.2.1.1.06.02</t>
  </si>
  <si>
    <t>5.2.2.1.1.06.03</t>
  </si>
  <si>
    <t>5.2.2.1.1.06.04</t>
  </si>
  <si>
    <t>PREMIAÇÕES CULTURAIS</t>
  </si>
  <si>
    <t>5.2.2.1.1.06.07</t>
  </si>
  <si>
    <t>PREMIAÇÕES ARTÍSTICAS</t>
  </si>
  <si>
    <t>5.2.2.1.1.06.08</t>
  </si>
  <si>
    <t>PREMIAÇÕES CIENTIFICAS</t>
  </si>
  <si>
    <t>5.2.2.1.1.06.09</t>
  </si>
  <si>
    <t>PREMIAÇÕES DESPORTIVAS</t>
  </si>
  <si>
    <t>5.2.2.1.1.06.10</t>
  </si>
  <si>
    <t>ORDENS HONORIFICAS</t>
  </si>
  <si>
    <t>5.2.2.1.1.06.11</t>
  </si>
  <si>
    <t>OUTRAS PREMIAÇÕES</t>
  </si>
  <si>
    <t>5.2.2.1.1.06.12</t>
  </si>
  <si>
    <t>INCENTIVOS A EDUCAÇÃO</t>
  </si>
  <si>
    <t>5.2.2.1.1.06.13</t>
  </si>
  <si>
    <t>INCENTIVOS A CIÊNCIA</t>
  </si>
  <si>
    <t>5.2.2.1.1.06.14</t>
  </si>
  <si>
    <t>INCENTIVOS A CULTURA</t>
  </si>
  <si>
    <t>5.2.2.1.1.06.15</t>
  </si>
  <si>
    <t>INCENTIVOS AO ESPORTE</t>
  </si>
  <si>
    <t>5.2.2.1.1.06.16</t>
  </si>
  <si>
    <t>OUTROS INCENTIVOS</t>
  </si>
  <si>
    <t>5.2.2.1.1.07</t>
  </si>
  <si>
    <t xml:space="preserve">SERVIÇOS BANCÁRIOS </t>
  </si>
  <si>
    <t>5.2.2.1.1.07.01</t>
  </si>
  <si>
    <t>5.2.2.1.1.07.02</t>
  </si>
  <si>
    <t>5.2.2.1.1.08</t>
  </si>
  <si>
    <t>TRANSFERÊNCIAS CORRENTES</t>
  </si>
  <si>
    <t>5.2.2.1.1.08.01</t>
  </si>
  <si>
    <t>SUBVENÇÕES SOCIAIS</t>
  </si>
  <si>
    <t>5.2.2.1.1.08.01.01</t>
  </si>
  <si>
    <t>5.2.2.1.1.09</t>
  </si>
  <si>
    <t>RESERVAS</t>
  </si>
  <si>
    <t>5.2.2.1.1.09.01</t>
  </si>
  <si>
    <t>5.2.2.1.2</t>
  </si>
  <si>
    <t>5.2.2.1.2.01</t>
  </si>
  <si>
    <t>INVESTIMENTOS</t>
  </si>
  <si>
    <t>5.2.2.1.2.01.01</t>
  </si>
  <si>
    <t>5.2.2.1.2.01.01.01</t>
  </si>
  <si>
    <t>5.2.2.1.2.01.01.02</t>
  </si>
  <si>
    <t xml:space="preserve">TÍTULOS E AÇÕES </t>
  </si>
  <si>
    <t>5.2.2.1.2.01.03</t>
  </si>
  <si>
    <t xml:space="preserve">EQUIPAMENTOS E MATERIAIS PERMANENTES </t>
  </si>
  <si>
    <t>5.2.2.1.2.01.03.01</t>
  </si>
  <si>
    <t>Mobiliário em Geral</t>
  </si>
  <si>
    <t>5.2.2.1.2.01.03.02</t>
  </si>
  <si>
    <t>Máquinas, Motores e Aparelhos</t>
  </si>
  <si>
    <t>5.2.2.1.2.01.03.03</t>
  </si>
  <si>
    <t>5.2.2.1.2.01.03.04</t>
  </si>
  <si>
    <t>5.2.2.1.2.01.03.05</t>
  </si>
  <si>
    <t>5.2.2.1.2.01.03.06</t>
  </si>
  <si>
    <t>5.2.2.1.2.01.03.08</t>
  </si>
  <si>
    <t>5.2.2.1.2.01.03.09</t>
  </si>
  <si>
    <t>5.2.2.1.2.01.03.12</t>
  </si>
  <si>
    <t xml:space="preserve">AQUISIÇÃO DE IMÓVEIS </t>
  </si>
  <si>
    <t>5.2.2.1.2.01.05</t>
  </si>
  <si>
    <t xml:space="preserve">INTANGÍVEL </t>
  </si>
  <si>
    <t>5.2.2.1.2.02</t>
  </si>
  <si>
    <t>INVERSÕES FINANCEIRAS</t>
  </si>
  <si>
    <t>5.2.2.1.2.02.01</t>
  </si>
  <si>
    <t>5.2.2.1.2.02.02</t>
  </si>
  <si>
    <t>5.2.2.1.2.02.02.02</t>
  </si>
  <si>
    <t>5.2.2.1.2.02.03</t>
  </si>
  <si>
    <t>5.2.2.1.2.02.03.01</t>
  </si>
  <si>
    <t>5.2.2.1.2.02.03.02</t>
  </si>
  <si>
    <t>5.2.2.1.2.02.03.03</t>
  </si>
  <si>
    <t>5.2.2.1.2.02.04</t>
  </si>
  <si>
    <t>5.2.2.1.2.02.04.01</t>
  </si>
  <si>
    <t>5.2.2.1.2.03</t>
  </si>
  <si>
    <t>AMORTIZAÇÃO DA DÍVIDA</t>
  </si>
  <si>
    <t>5.2.2.1.2.03.01</t>
  </si>
  <si>
    <t xml:space="preserve">AMORTIZAÇÕES DE EMPRÉSTIMOS </t>
  </si>
  <si>
    <t>5.2.2.1.2.03.01.01</t>
  </si>
  <si>
    <t>5.2.2.1.2.03.01.02</t>
  </si>
  <si>
    <t>5.2.2.1.2.03.01.03</t>
  </si>
  <si>
    <t>5.2.2.1.2.03.02</t>
  </si>
  <si>
    <t xml:space="preserve">OUTRAS AMORTIZAÇÕES </t>
  </si>
  <si>
    <t>5.2.2.1.2.03.02.01</t>
  </si>
  <si>
    <t>5.2.2.1.2.04</t>
  </si>
  <si>
    <t>OUTRAS DESPESAS CAPITAL</t>
  </si>
  <si>
    <t>5.2.2.1.2.04.01</t>
  </si>
  <si>
    <t>5.2.2.1.2.04.01.01</t>
  </si>
  <si>
    <t>5.2.2.1.1.04.01.06</t>
  </si>
  <si>
    <t>5.2.2.1.1.04.09.53</t>
  </si>
  <si>
    <t>Serviços de Organização de Eventos</t>
  </si>
  <si>
    <t>Vacinação</t>
  </si>
  <si>
    <t>Superintendente Administrativo e Financeiro</t>
  </si>
  <si>
    <t>Gerente de Orçamento e Contabilidade</t>
  </si>
  <si>
    <t>5.2.1.1.2.09</t>
  </si>
  <si>
    <t>Fundos de Aplic.Lastreado em Tít.do Tesouro Nacional</t>
  </si>
  <si>
    <t>Natureza</t>
  </si>
  <si>
    <t>Código</t>
  </si>
  <si>
    <t>DEMONSTRATIVO ANALÍTICO DA RECEITA</t>
  </si>
  <si>
    <t>ANEXO II - Resolução nº 1037/2011</t>
  </si>
  <si>
    <t>CONSELHO FEDERAL DE ENGENHARIA E AGRONOMIA – CONFEA</t>
  </si>
  <si>
    <t>SERVIÇO PÚBLICO FEDERAL</t>
  </si>
  <si>
    <t>COTA PARTE</t>
  </si>
  <si>
    <t>DEMONSTRATIVO SINTÉTICO DA RECEITA</t>
  </si>
  <si>
    <t>ANEXO III - Resolução nº 1037/2011</t>
  </si>
  <si>
    <t>5.2.2.1.1.06.06</t>
  </si>
  <si>
    <t>5.2.2.1.1.05.01.003</t>
  </si>
  <si>
    <t>5.2.2.1.1.05.01.002</t>
  </si>
  <si>
    <t>5.2.2.1.1.05.01.001</t>
  </si>
  <si>
    <t>DEMONSTRATIVO ANALÍTICO DA DESPESA</t>
  </si>
  <si>
    <t>ANEXO IV - Resolução nº 1037/2011</t>
  </si>
  <si>
    <t>DEMONSTRATIVO SINTÉTICO DA DESPESA</t>
  </si>
  <si>
    <t>ANEXO V - Resolução nº 1037/2011</t>
  </si>
  <si>
    <t>TOTAL</t>
  </si>
  <si>
    <t>SALDOS DE EXERCÍCIOS</t>
  </si>
  <si>
    <t>ANEXO VI - Resolução nº 1037/2011</t>
  </si>
  <si>
    <t>Júlio César Gonçalves de Miranda</t>
  </si>
  <si>
    <t>Transferências Intragovernamentais - Prodesu</t>
  </si>
  <si>
    <t>CANCELAMENTO DE CRÉDITOS</t>
  </si>
  <si>
    <t>Receita de Devolução de Auxílios</t>
  </si>
  <si>
    <t>DOTAÇÃO INICIAL - DESPESAS CORRENTES</t>
  </si>
  <si>
    <t>DOTAÇÃO INICIAL - DESPESAS DE CAPITAL</t>
  </si>
  <si>
    <t>SERVIÇOS DE TERCEIROS - PESSOAS FÍSICAS</t>
  </si>
  <si>
    <t>SERVIÇOS DE TERCEIROS - PESSOAS JURÍDICAS</t>
  </si>
  <si>
    <t>Seguros de Viagens</t>
  </si>
  <si>
    <t>Inscrições</t>
  </si>
  <si>
    <t>5.2.2.1.2.02.05</t>
  </si>
  <si>
    <t>5.2.2.1.2.02.05.01</t>
  </si>
  <si>
    <t>CONCESSÃO DE EMPRÉSTIMOS</t>
  </si>
  <si>
    <t>Jadir José Alberti</t>
  </si>
  <si>
    <t>Eng. Civ. Joel Krüger</t>
  </si>
  <si>
    <t>Presidente do Confea</t>
  </si>
  <si>
    <t>Salários</t>
  </si>
  <si>
    <t>13º Salário</t>
  </si>
  <si>
    <t>Horas Extras</t>
  </si>
  <si>
    <t>Plano de Saúde</t>
  </si>
  <si>
    <t>Plano Odontológico</t>
  </si>
  <si>
    <t>Diárias - Funcionários</t>
  </si>
  <si>
    <t>Diárias - Conselheiros</t>
  </si>
  <si>
    <t>Diárias - Colaboradores</t>
  </si>
  <si>
    <t>Despesas Judiciais</t>
  </si>
  <si>
    <t>Serviços de Informática</t>
  </si>
  <si>
    <t>Sentenças Judiciais</t>
  </si>
  <si>
    <t>Serviços Bancários</t>
  </si>
  <si>
    <t>Condomínios</t>
  </si>
  <si>
    <t>Impostos e Taxas</t>
  </si>
  <si>
    <t>5.2.2.1.1.04.09.54</t>
  </si>
  <si>
    <t>5.2.2.1.1.04.09.55</t>
  </si>
  <si>
    <t>Patrocínios</t>
  </si>
  <si>
    <t>Publicações Técnicas</t>
  </si>
  <si>
    <t>Materiais de Informática</t>
  </si>
  <si>
    <t>Biblioteca</t>
  </si>
  <si>
    <t>Adicional Noturno</t>
  </si>
  <si>
    <t>Indenizações Trabalhistas</t>
  </si>
  <si>
    <t>Auxílio Alimentação</t>
  </si>
  <si>
    <t>Gêneros de Alimentação</t>
  </si>
  <si>
    <t>Serviços de Motorista</t>
  </si>
  <si>
    <t>5.2.1.1.1.08.07</t>
  </si>
  <si>
    <t>% sobre
Total</t>
  </si>
  <si>
    <t>Aquisição de Softwares de Base</t>
  </si>
  <si>
    <t>Vantagem Pessoal - Anuênio</t>
  </si>
  <si>
    <t>Funções de Confiança</t>
  </si>
  <si>
    <t>1/3 de Férias</t>
  </si>
  <si>
    <t>Substituições - Funções de Confiança e Cargos em Comissão</t>
  </si>
  <si>
    <t>Vantagem Pessoal - Assiduidade</t>
  </si>
  <si>
    <t>Serviços de Medicina do Trabalho e Saúde Ocupacional</t>
  </si>
  <si>
    <t>Serviços de Contratação de Jovem Aprendiz</t>
  </si>
  <si>
    <t>5.2.2.1.1.04.09.56</t>
  </si>
  <si>
    <t>Despesas Correntes</t>
  </si>
  <si>
    <t>Despesas</t>
  </si>
  <si>
    <t>Pessoal e Encargos Sociais</t>
  </si>
  <si>
    <t>Despesas de Capital</t>
  </si>
  <si>
    <t>Remuneração de Pessoal</t>
  </si>
  <si>
    <t>Cargos em Comissão</t>
  </si>
  <si>
    <t>Abono Pecuniário de Férias</t>
  </si>
  <si>
    <t>Encargos Patronais</t>
  </si>
  <si>
    <t>Outras Despesas Correntes</t>
  </si>
  <si>
    <t>Benefícios a Pessoal</t>
  </si>
  <si>
    <t>Auxílio Transporte</t>
  </si>
  <si>
    <t>Benefícios Assistenciais</t>
  </si>
  <si>
    <t>Auxílio Educação</t>
  </si>
  <si>
    <t>Aposentadorias e Pensões</t>
  </si>
  <si>
    <t>Material de Consumo</t>
  </si>
  <si>
    <t>Materiais de Expediente</t>
  </si>
  <si>
    <t>Carteiras de Identificação Profissional</t>
  </si>
  <si>
    <t>Materiais para Áudio, Vídeo e Foto</t>
  </si>
  <si>
    <t>Materiais para Manutenção de Bens Móveis</t>
  </si>
  <si>
    <t>Materiais para Manutenção de Bens Imóveis/Instalações</t>
  </si>
  <si>
    <t>Despesas com Veículos</t>
  </si>
  <si>
    <t>Combustíveis e Lubrificantes</t>
  </si>
  <si>
    <t>Serviços de Instrutores - Pessoas Físicas</t>
  </si>
  <si>
    <t>Diárias</t>
  </si>
  <si>
    <t>Deslocamento Terrestre/DT</t>
  </si>
  <si>
    <t>Deslocamento Terrestre/DT - Funcionários</t>
  </si>
  <si>
    <t>Deslocamento Terrestre/DT - Conselheiros</t>
  </si>
  <si>
    <t>Deslocamento Terrestre/DT - Colaboradores</t>
  </si>
  <si>
    <t>Despesas com Locomoção</t>
  </si>
  <si>
    <t>Auxílio Translado/AT - Funcionários</t>
  </si>
  <si>
    <t>Auxílio Translado/AT - Conselheiros</t>
  </si>
  <si>
    <t>Auxílio Translado/AT - Colaboradores</t>
  </si>
  <si>
    <t>Serviços de Auditoria e Perícia</t>
  </si>
  <si>
    <t>Serviços de Assessoria e Consultoria</t>
  </si>
  <si>
    <t>Serviços de Instrutores - Pessoas Jurídicas</t>
  </si>
  <si>
    <t>Serviços de Limpeza, Conservação e Jardinagem</t>
  </si>
  <si>
    <t>Serviços de Segurança Predial e Preventiva</t>
  </si>
  <si>
    <t>Serviços de Seleção e Treinamento de Pessoal</t>
  </si>
  <si>
    <t>Serviços de Intermediação de Estágios</t>
  </si>
  <si>
    <t>Remuneração de Estagiários</t>
  </si>
  <si>
    <t>Serviços de Divulgação Institucional</t>
  </si>
  <si>
    <t>Serviços de Apoio Administrativo e Operacional</t>
  </si>
  <si>
    <t>Seguros de Veículos</t>
  </si>
  <si>
    <t>Seguros de Bens Imóveis</t>
  </si>
  <si>
    <t>Serviços de Locação de Bens Móveis</t>
  </si>
  <si>
    <t>Serviços de Manutenção e Conservação de Bens Móveis</t>
  </si>
  <si>
    <t>Serviços de Manutenção e Conservação de Bens Imóveis e Instalações</t>
  </si>
  <si>
    <t>Serviços de Manutenção e Conservação de Veículos</t>
  </si>
  <si>
    <t>Serviços de Energia Elétrica</t>
  </si>
  <si>
    <t>Serviços de Água e Esgoto</t>
  </si>
  <si>
    <t>Postagens de Correspondências Institucionais</t>
  </si>
  <si>
    <t>Serviços de Telecomunicações</t>
  </si>
  <si>
    <t>Serviços de Internet</t>
  </si>
  <si>
    <t>Passagens Aéreas - Conselheiros</t>
  </si>
  <si>
    <t>Passagens Aéreas - Funcionários</t>
  </si>
  <si>
    <t>Passagens Aéreas - Colaboradores</t>
  </si>
  <si>
    <t>Tributárias e Contributivas</t>
  </si>
  <si>
    <t>Tributos</t>
  </si>
  <si>
    <t>INSS sobre Serviços Prestados</t>
  </si>
  <si>
    <t>Demais Despesas Correntes</t>
  </si>
  <si>
    <t>Restituições, Reembolsos e Indenizações</t>
  </si>
  <si>
    <t>Despesas Correntes de Exercícios Anteriores</t>
  </si>
  <si>
    <t>Despesas Miúdas de Pronto Pagamento</t>
  </si>
  <si>
    <t>Despesas Bancárias</t>
  </si>
  <si>
    <t>Despesas com Cobrança</t>
  </si>
  <si>
    <t>Transferências Correntes</t>
  </si>
  <si>
    <t>Subvenções Sociais</t>
  </si>
  <si>
    <t>Convênio para realização da SOEA</t>
  </si>
  <si>
    <t>Convênio para realização do CNP</t>
  </si>
  <si>
    <t>Auxílio para Recuperação e Equilíbrio Financeiro dos Creas - RREF</t>
  </si>
  <si>
    <t>Reservas</t>
  </si>
  <si>
    <t>Reserva de Contingência</t>
  </si>
  <si>
    <t>Investimentos</t>
  </si>
  <si>
    <t>Obras, Instalações e Reformas</t>
  </si>
  <si>
    <t>Obras e Instalações</t>
  </si>
  <si>
    <t>Equipamentos de Processamento de Dados</t>
  </si>
  <si>
    <t>Outras Despesas de Capital</t>
  </si>
  <si>
    <t>Transferências de Capital</t>
  </si>
  <si>
    <t>Prodesu (Correntes) - Programa Desenvolvimento Sustentável do Sistema</t>
  </si>
  <si>
    <t>AUDI</t>
  </si>
  <si>
    <t>Categoria Econômica</t>
  </si>
  <si>
    <t>Grupo de Natureza de Despesa</t>
  </si>
  <si>
    <t>Despesa</t>
  </si>
  <si>
    <t>Grupo de Conta</t>
  </si>
  <si>
    <t>OUVI</t>
  </si>
  <si>
    <t>Reuniões e Treinamentos</t>
  </si>
  <si>
    <t>Processo</t>
  </si>
  <si>
    <t>Documento</t>
  </si>
  <si>
    <t>CONT</t>
  </si>
  <si>
    <t>SUJUD</t>
  </si>
  <si>
    <t>RREF</t>
  </si>
  <si>
    <t>CEF</t>
  </si>
  <si>
    <t>PLEN</t>
  </si>
  <si>
    <t>CAIS</t>
  </si>
  <si>
    <t>CCSS</t>
  </si>
  <si>
    <t>CEAP</t>
  </si>
  <si>
    <t>CEEP</t>
  </si>
  <si>
    <t>CONP</t>
  </si>
  <si>
    <t>CME</t>
  </si>
  <si>
    <t>CDEN</t>
  </si>
  <si>
    <t>CP</t>
  </si>
  <si>
    <t>CGPRODESU</t>
  </si>
  <si>
    <t>SIS</t>
  </si>
  <si>
    <t>GRI</t>
  </si>
  <si>
    <t>05085/2021</t>
  </si>
  <si>
    <t>SETRP</t>
  </si>
  <si>
    <t>CCM</t>
  </si>
  <si>
    <t>CON</t>
  </si>
  <si>
    <t>SOEA</t>
  </si>
  <si>
    <t>CNP</t>
  </si>
  <si>
    <t>GTI</t>
  </si>
  <si>
    <t>Contrato NTSEC: Serviços de Segurança de Rede Corporativa</t>
  </si>
  <si>
    <t>Contrato TECHNOCOPY: Serviços de Locação de equipamentos de impressão</t>
  </si>
  <si>
    <t>Contrato NETWORLD: Link de Internet</t>
  </si>
  <si>
    <t xml:space="preserve">Contrato 2R DATATEL: Renovação das Licenças do Firewall </t>
  </si>
  <si>
    <t>GPG</t>
  </si>
  <si>
    <t>Atividades da GPG</t>
  </si>
  <si>
    <t>SEG</t>
  </si>
  <si>
    <t>GCO</t>
  </si>
  <si>
    <t>Contrato RD7 PRODUÇÕES: Eventos nas regiões Sul e Sudeste</t>
  </si>
  <si>
    <t>Contrato RD7 PRODUÇÕES: Eventos nas regiões Norte e Nordeste</t>
  </si>
  <si>
    <t>Contrato DATA LAWYER: Software Jurídico</t>
  </si>
  <si>
    <t>CD</t>
  </si>
  <si>
    <t>SEDEP</t>
  </si>
  <si>
    <t>GFI</t>
  </si>
  <si>
    <t>GIE</t>
  </si>
  <si>
    <t>Taxas Condominiais do imóvel SCS Qd. 01 Bl. I Sala 401</t>
  </si>
  <si>
    <t>Contrato ATLAS SCHINDLER: Manutenção dos Elevadores do Bloco A</t>
  </si>
  <si>
    <t>Contrato CLARO: Serviço Telefônico Fixo Comutado (STFC)</t>
  </si>
  <si>
    <t>Contrato CLARO: Serviços de Telefonia Móvel Pessoal (SMP)</t>
  </si>
  <si>
    <t>Demais Serviços Profissionais</t>
  </si>
  <si>
    <t>Contrato PURÍSSIMA: Aquisição de Água Mineral</t>
  </si>
  <si>
    <t>A contratar: Execução do projeto para recuperação do sistema de Impermeabilização</t>
  </si>
  <si>
    <t>Suprimentos de Fundos</t>
  </si>
  <si>
    <t>Taxa de Limpeza Pública (TLP)</t>
  </si>
  <si>
    <t>SAF</t>
  </si>
  <si>
    <t>Contrato IMPRENSA NACIONAL: Publicações no Diário Oficial da União (DOU)</t>
  </si>
  <si>
    <t>SELOG</t>
  </si>
  <si>
    <t>Contrato PRIME: Combustíveis</t>
  </si>
  <si>
    <t>Contrato PORTO SEGURO: Seguro dos Veículos do Confea</t>
  </si>
  <si>
    <t>Contrato IDEIAS: Serviços de agenciamento de viagens</t>
  </si>
  <si>
    <t>Contrato GIBBOR: Publicação de avisos de licitação em jornal</t>
  </si>
  <si>
    <t>FINALIDADE</t>
  </si>
  <si>
    <t>GESTÃO</t>
  </si>
  <si>
    <t>PRESI</t>
  </si>
  <si>
    <t>GOVERNANÇA</t>
  </si>
  <si>
    <t>Programa</t>
  </si>
  <si>
    <t>SubPrograma</t>
  </si>
  <si>
    <t>PRODESU I</t>
  </si>
  <si>
    <t>PRODESU II</t>
  </si>
  <si>
    <t>PRODESU III</t>
  </si>
  <si>
    <t>Prodesu (Capital) - Programa Desenvolvimento Sustentável do Sistema</t>
  </si>
  <si>
    <t>Código da Conta</t>
  </si>
  <si>
    <t>5.2.2.1.1.05.01.01</t>
  </si>
  <si>
    <t>5.2.2.1.1.05.01.02</t>
  </si>
  <si>
    <t>5.2.2.1.1.05.01.03</t>
  </si>
  <si>
    <t>5.2.2.1.1.08.01.05</t>
  </si>
  <si>
    <t>5.2.2.1.1.08.01.07</t>
  </si>
  <si>
    <t>5.2.2.1.1.08.01.08</t>
  </si>
  <si>
    <t>Convênio para realização de CEPs (Regionais)</t>
  </si>
  <si>
    <t>5.2.2.1.1.08.01.09</t>
  </si>
  <si>
    <t>PIC-01</t>
  </si>
  <si>
    <t>PIC-04</t>
  </si>
  <si>
    <t>PIC-06</t>
  </si>
  <si>
    <t>PIC-16</t>
  </si>
  <si>
    <t>GABI</t>
  </si>
  <si>
    <t>Centro de Custo</t>
  </si>
  <si>
    <t>DIREÇÃO E LIDERANÇA</t>
  </si>
  <si>
    <t>ESTRATÉGIA</t>
  </si>
  <si>
    <t>CONTROLE</t>
  </si>
  <si>
    <t>JULGAMENTO E NORMATIZAÇÃO</t>
  </si>
  <si>
    <t>COMUNICAÇÃO E EVENTOS</t>
  </si>
  <si>
    <t>SUPORTE TÉCNICO-ADMINISTRATIVO</t>
  </si>
  <si>
    <t>SETAP</t>
  </si>
  <si>
    <t>INFRA</t>
  </si>
  <si>
    <t>Nada consta</t>
  </si>
  <si>
    <t>Valor Solicitado (R$)</t>
  </si>
  <si>
    <t>CTRL</t>
  </si>
  <si>
    <t>U.O. Responsável</t>
  </si>
  <si>
    <t>CCEC</t>
  </si>
  <si>
    <t>CEP</t>
  </si>
  <si>
    <t>FISCALIZAÇÃO</t>
  </si>
  <si>
    <t>CONTING</t>
  </si>
  <si>
    <t>TOTAIS</t>
  </si>
  <si>
    <t>Finalidade</t>
  </si>
  <si>
    <t>Proposta Orçamentária 2022</t>
  </si>
  <si>
    <t>GDI</t>
  </si>
  <si>
    <t>GCF</t>
  </si>
  <si>
    <t>Equip. e Mat. Permanentes</t>
  </si>
  <si>
    <t>Serviços de Terceiros - PF</t>
  </si>
  <si>
    <t>Serviços de Terceiros - PJ</t>
  </si>
  <si>
    <t>Conta Orçamentária</t>
  </si>
  <si>
    <t>SIM</t>
  </si>
  <si>
    <t>NÃO</t>
  </si>
  <si>
    <t>GEST</t>
  </si>
  <si>
    <t>COEV</t>
  </si>
  <si>
    <t>NORM</t>
  </si>
  <si>
    <t>CREA - AC</t>
  </si>
  <si>
    <t>CREA - AL</t>
  </si>
  <si>
    <t>CREA - AM</t>
  </si>
  <si>
    <t>CREA - AP</t>
  </si>
  <si>
    <t>CREA - BA</t>
  </si>
  <si>
    <t>CREA - CE</t>
  </si>
  <si>
    <t>CREA - DF</t>
  </si>
  <si>
    <t>CREA - ES</t>
  </si>
  <si>
    <t>CREA - GO</t>
  </si>
  <si>
    <t>CREA - MA</t>
  </si>
  <si>
    <t>CREA - MG</t>
  </si>
  <si>
    <t>CREA - MS</t>
  </si>
  <si>
    <t>CREA - MT</t>
  </si>
  <si>
    <t>CREA - PA</t>
  </si>
  <si>
    <t>CREA - PB</t>
  </si>
  <si>
    <t>CREA - PE</t>
  </si>
  <si>
    <t>CREA - PI</t>
  </si>
  <si>
    <t>CREA - PR</t>
  </si>
  <si>
    <t>CREA - RJ</t>
  </si>
  <si>
    <t>CREA - RN</t>
  </si>
  <si>
    <t>CREA - RO</t>
  </si>
  <si>
    <t>CREA - RR</t>
  </si>
  <si>
    <t>CREA - RS</t>
  </si>
  <si>
    <t>CREA - SC</t>
  </si>
  <si>
    <t>CREA - SE</t>
  </si>
  <si>
    <t>CREA - SP</t>
  </si>
  <si>
    <t>CREA - TO</t>
  </si>
  <si>
    <t>Não Tributária</t>
  </si>
  <si>
    <t>Cancelamento de Obrigações/Créditos</t>
  </si>
  <si>
    <t>Amortização de Empréstimos</t>
  </si>
  <si>
    <t>Fundos Invest. Lastreados a Títulos do Tesouro Nacional</t>
  </si>
  <si>
    <t xml:space="preserve">Caderneta de Poupança </t>
  </si>
  <si>
    <t>Orçado
2021</t>
  </si>
  <si>
    <t xml:space="preserve">REMUNERAÇÃO DE APLICAÇÕES FINANCEIRAS </t>
  </si>
  <si>
    <t>CANCELAMENTO DE OBRIGAÇÕES/CRÉDITOS</t>
  </si>
  <si>
    <t>PASSAGENS / DESLOCAMENTOS TERRESTRES (DT)</t>
  </si>
  <si>
    <t>Decisão Plenária nº PL-</t>
  </si>
  <si>
    <t>GOVERNANÇA
Direção e Liderança</t>
  </si>
  <si>
    <t>FINALIDADE
Julgamento e Normatização</t>
  </si>
  <si>
    <t xml:space="preserve">GOVERNANÇA
Estratégia
</t>
  </si>
  <si>
    <t xml:space="preserve">GOVERNANÇA
Controle
</t>
  </si>
  <si>
    <t xml:space="preserve">FINALIDADE
Fiscalização
</t>
  </si>
  <si>
    <t xml:space="preserve">FINALIDADE
Registro
</t>
  </si>
  <si>
    <t>GESTÃO
Comunicação 
e Eventos</t>
  </si>
  <si>
    <t>GESTÃO
Suporte Técnico-Administrativo</t>
  </si>
  <si>
    <t>% sobre Total</t>
  </si>
  <si>
    <t>AMORTIZAÇÃO DE EMPRÉSTIMO</t>
  </si>
  <si>
    <t>OPERAÇÕES DE CRÉDITO</t>
  </si>
  <si>
    <t>ALIENAÇÃO DE BENS</t>
  </si>
  <si>
    <t>ATUALIZAÇÃO MONETÁRIA SOBRE PERDCOMP</t>
  </si>
  <si>
    <t>RECEITA DE SERVIÇOS</t>
  </si>
  <si>
    <t>Código da Despesa</t>
  </si>
  <si>
    <t>Receitas</t>
  </si>
  <si>
    <t>DEMONSTRATIVO SINTÉTICO DA RECEITA E DA DESPESA</t>
  </si>
  <si>
    <t xml:space="preserve">   REMUNERAÇÃO PESSOAL</t>
  </si>
  <si>
    <t xml:space="preserve">   ENCARGOS PATRONAIS</t>
  </si>
  <si>
    <t xml:space="preserve">   BENEFÍCIOS A PESSOAL</t>
  </si>
  <si>
    <t xml:space="preserve">   BENEFÍCIOS ASSISTENCIAIS</t>
  </si>
  <si>
    <t xml:space="preserve">   USO DE BENS E SERVIÇOS</t>
  </si>
  <si>
    <t xml:space="preserve">      Material de Consumo</t>
  </si>
  <si>
    <t xml:space="preserve">      Despesas com Veículos</t>
  </si>
  <si>
    <t xml:space="preserve">      Serviços de Terceiros - Pessoas Físicas</t>
  </si>
  <si>
    <t xml:space="preserve">   DIÁRIAS</t>
  </si>
  <si>
    <t xml:space="preserve">   DESLOCAMENTOS TERRESTRES (DT)</t>
  </si>
  <si>
    <t xml:space="preserve">   DESPESAS COM LOCOMOÇÃO / AUXÍLIO TRANSLADO (AT)</t>
  </si>
  <si>
    <t xml:space="preserve">   SERVIÇOS DE TERCEIROS - PESSOAS JURÍDICAS</t>
  </si>
  <si>
    <t xml:space="preserve">   TRIBUTOS </t>
  </si>
  <si>
    <t xml:space="preserve">   SENTENÇAS JUDICIAIS</t>
  </si>
  <si>
    <t xml:space="preserve">   DESPESAS CORRENTES DE EXERCÍCIOS ANTERIORES </t>
  </si>
  <si>
    <t xml:space="preserve">   DESPESAS MIÚDAS DE PRONTO PAGAMENTO </t>
  </si>
  <si>
    <t xml:space="preserve">   EQUIPAMENTOS E MATERIAIS PERMANENTES </t>
  </si>
  <si>
    <t xml:space="preserve">   Salários </t>
  </si>
  <si>
    <t xml:space="preserve">   Vantagem Pessoal - Anuênio</t>
  </si>
  <si>
    <t>Vantagem Pessoal - Gratificação 1/12 avos</t>
  </si>
  <si>
    <t xml:space="preserve">   13º Salário</t>
  </si>
  <si>
    <t xml:space="preserve">   Abono Pecuniário de Férias </t>
  </si>
  <si>
    <t xml:space="preserve">   1/3 de Férias</t>
  </si>
  <si>
    <t xml:space="preserve">   Horas Extras </t>
  </si>
  <si>
    <t xml:space="preserve">   Substituições - Funções de Confiança e Cargos em Comissão</t>
  </si>
  <si>
    <t xml:space="preserve">   Adicional Noturno </t>
  </si>
  <si>
    <t xml:space="preserve">   Indenizações Trabalhistas </t>
  </si>
  <si>
    <t xml:space="preserve">   Remuneração de Empregados Requisitados</t>
  </si>
  <si>
    <t xml:space="preserve">   Férias</t>
  </si>
  <si>
    <t>Remuneração de Empregados Requisitados</t>
  </si>
  <si>
    <t xml:space="preserve">   Vantagem Pessoal - Assiduidade</t>
  </si>
  <si>
    <t xml:space="preserve">   Vantagem Pessoal - Gratificação 1/12 avos</t>
  </si>
  <si>
    <t xml:space="preserve">   FGTS</t>
  </si>
  <si>
    <t xml:space="preserve">   PIS sobre Folha</t>
  </si>
  <si>
    <t>PIS sobre Folha</t>
  </si>
  <si>
    <t>INSS e RAT</t>
  </si>
  <si>
    <t xml:space="preserve">   INSS e RAT</t>
  </si>
  <si>
    <t xml:space="preserve">   Auxílio Transporte </t>
  </si>
  <si>
    <t xml:space="preserve">   Auxílio Alimentação</t>
  </si>
  <si>
    <t xml:space="preserve">   Plano de Saúde </t>
  </si>
  <si>
    <t xml:space="preserve">   Plano Odontológico </t>
  </si>
  <si>
    <t xml:space="preserve">   Previdência Complementar</t>
  </si>
  <si>
    <t xml:space="preserve">   Vacinação</t>
  </si>
  <si>
    <t xml:space="preserve">   Auxílio Educação </t>
  </si>
  <si>
    <t xml:space="preserve">   Aposentadorias e Pensões</t>
  </si>
  <si>
    <t xml:space="preserve">   Auxílio Funeral</t>
  </si>
  <si>
    <t xml:space="preserve">   Materiais de Expediente </t>
  </si>
  <si>
    <t xml:space="preserve">   Materiais Gráficos</t>
  </si>
  <si>
    <t xml:space="preserve">   Carteiras de Identificação Profissional </t>
  </si>
  <si>
    <t xml:space="preserve">   Materiais de Informática </t>
  </si>
  <si>
    <t xml:space="preserve">   Materiais para Manutenção de Bens Móveis </t>
  </si>
  <si>
    <t xml:space="preserve">   Materiais para Manutenção de Bens Imóveis/Instalações </t>
  </si>
  <si>
    <t xml:space="preserve">   Gêneros de Alimentação </t>
  </si>
  <si>
    <t xml:space="preserve">   Combustíveis e Lubrificantes</t>
  </si>
  <si>
    <t xml:space="preserve">   Serviços de Auditoria e Perícia </t>
  </si>
  <si>
    <t xml:space="preserve">   Serviços de Assessoria e Consultoria </t>
  </si>
  <si>
    <t xml:space="preserve">   Serviços de Instrutores - Pessoas Físicas</t>
  </si>
  <si>
    <t xml:space="preserve">   Serviços de Motoristas</t>
  </si>
  <si>
    <t xml:space="preserve">   Serviços de Limpeza, Conservação e Jardinagem </t>
  </si>
  <si>
    <t xml:space="preserve">   Serviços de Segurança Predial e Preventiva </t>
  </si>
  <si>
    <t xml:space="preserve">   Serviços de Divulgação Institucional </t>
  </si>
  <si>
    <t xml:space="preserve">   Serviços de Apoio Administrativo e Operacional </t>
  </si>
  <si>
    <t xml:space="preserve">   Demais Serviços Profissionais </t>
  </si>
  <si>
    <t xml:space="preserve">   Jetons - Conselheiros</t>
  </si>
  <si>
    <t xml:space="preserve">   Diárias - Funcionários </t>
  </si>
  <si>
    <t xml:space="preserve">   Diárias - Conselheiros </t>
  </si>
  <si>
    <t xml:space="preserve">   Diárias - Colaboradores </t>
  </si>
  <si>
    <t xml:space="preserve">   Deslocamento Terrestre/DT - Funcionários </t>
  </si>
  <si>
    <t xml:space="preserve">   Deslocamento Terrestre/DT - Conselheiros </t>
  </si>
  <si>
    <t xml:space="preserve">   Deslocamento Terrestre/DT - Colaboradores </t>
  </si>
  <si>
    <t xml:space="preserve">   Auxílio Translado/AT - Funcionários</t>
  </si>
  <si>
    <t xml:space="preserve">   Auxílio Translado/AT - Conselheiros </t>
  </si>
  <si>
    <t xml:space="preserve">   Auxílio Translado/AT - Colaboradores </t>
  </si>
  <si>
    <t xml:space="preserve">   Serviços de Instrutores - Pessoas Jurídicas</t>
  </si>
  <si>
    <t xml:space="preserve">   Serviços de Informática </t>
  </si>
  <si>
    <t xml:space="preserve">   Serviços de Medicina do Trabalho e Saúde Ocupacional</t>
  </si>
  <si>
    <t xml:space="preserve">   Serviços de Seleção e Treinamento de Pessoal</t>
  </si>
  <si>
    <t xml:space="preserve">   Serviços de Intermediação de Estágios </t>
  </si>
  <si>
    <t xml:space="preserve">   Remuneração de Estagiários </t>
  </si>
  <si>
    <t xml:space="preserve">   Serviços de Contratação de Jovens Aprendizes</t>
  </si>
  <si>
    <t xml:space="preserve">   Seguros de Veículos</t>
  </si>
  <si>
    <t xml:space="preserve">   Seguros de Bens Imóveis </t>
  </si>
  <si>
    <t xml:space="preserve">   Seguros de Viagens</t>
  </si>
  <si>
    <t xml:space="preserve">   Serviços de Locação de Bens Móveis</t>
  </si>
  <si>
    <t xml:space="preserve">   Condomínios </t>
  </si>
  <si>
    <t xml:space="preserve">   Serviços de Manutenção e Conservação de Veículos </t>
  </si>
  <si>
    <t xml:space="preserve">   Serviços de Energia Elétrica </t>
  </si>
  <si>
    <t xml:space="preserve">   Serviços de Água e Esgoto </t>
  </si>
  <si>
    <t xml:space="preserve">   Serviços de Manutenção e Conservação Bens Móveis </t>
  </si>
  <si>
    <t xml:space="preserve">   Postagens de Correspondências Institucionais</t>
  </si>
  <si>
    <t xml:space="preserve">   Serviços de Telecomunicações </t>
  </si>
  <si>
    <t xml:space="preserve">   Serviços de Internet </t>
  </si>
  <si>
    <t xml:space="preserve">   Publicações Técnicas </t>
  </si>
  <si>
    <t xml:space="preserve">   Serviços Gráficos </t>
  </si>
  <si>
    <t>Serviços Gráficos</t>
  </si>
  <si>
    <t xml:space="preserve">   Serviços de Manutenção e Conservação de Bens Imóveis e Instalações</t>
  </si>
  <si>
    <t xml:space="preserve">   Inscrições</t>
  </si>
  <si>
    <t xml:space="preserve">   Passagens Aéreas - Conselheiros </t>
  </si>
  <si>
    <t xml:space="preserve">   Passagens Aéreas - Funcionários </t>
  </si>
  <si>
    <t xml:space="preserve">   Passagens Aéreas - Colaboradores </t>
  </si>
  <si>
    <t xml:space="preserve">   Serviços de Brigada de Incêndio</t>
  </si>
  <si>
    <t xml:space="preserve">   Serviços de Organização de Eventos</t>
  </si>
  <si>
    <t xml:space="preserve">   Patrocínios</t>
  </si>
  <si>
    <t xml:space="preserve">   Locação de Estandes</t>
  </si>
  <si>
    <t xml:space="preserve">   Serviços de Guarda e Gestão Documental</t>
  </si>
  <si>
    <t>Serviços de Guarda e Gestão Documental</t>
  </si>
  <si>
    <t>Locação de Estandes</t>
  </si>
  <si>
    <t xml:space="preserve">   INSS sobre Serviços Prestados </t>
  </si>
  <si>
    <t xml:space="preserve">   Impostos e Taxas </t>
  </si>
  <si>
    <t xml:space="preserve">   Despesas Judiciais </t>
  </si>
  <si>
    <t xml:space="preserve">   Sentenças Judiciais </t>
  </si>
  <si>
    <t xml:space="preserve">   Restituições, Reembolsos e Indenizações</t>
  </si>
  <si>
    <t xml:space="preserve">   Despesas Correntes de Exercícios Anteriores </t>
  </si>
  <si>
    <t xml:space="preserve">   Despesas Miúdas de Pronto Pagamento </t>
  </si>
  <si>
    <t xml:space="preserve">   Despesas Bancárias</t>
  </si>
  <si>
    <t xml:space="preserve">   Despesas com Cobrança </t>
  </si>
  <si>
    <t xml:space="preserve">   Prodesu (Correntes) - Programa Desenvolvimento Sustentável do Sistema</t>
  </si>
  <si>
    <t>5.2.2.1.1.08.01.06</t>
  </si>
  <si>
    <t xml:space="preserve">   Auxílio para Recuperação e Equilíbrio Financeiro dos Creas - RREF</t>
  </si>
  <si>
    <t xml:space="preserve">   Auxílio Emergencial aos Creas - Pandemia Covid-19</t>
  </si>
  <si>
    <t xml:space="preserve">   Convênio para realização da SOEA</t>
  </si>
  <si>
    <t xml:space="preserve">   Convênio para realização do CNP</t>
  </si>
  <si>
    <t xml:space="preserve">   Convênio para realização de CEPs (Regionais)</t>
  </si>
  <si>
    <t xml:space="preserve">   Reserva de Contingência</t>
  </si>
  <si>
    <t xml:space="preserve">   Obras e Instalações</t>
  </si>
  <si>
    <t xml:space="preserve">   Reformas </t>
  </si>
  <si>
    <t xml:space="preserve">   Mobiliário em Geral</t>
  </si>
  <si>
    <t xml:space="preserve">   Máquinas, Motores e Aparelhos</t>
  </si>
  <si>
    <t xml:space="preserve">   Instalações </t>
  </si>
  <si>
    <t xml:space="preserve">   Utensílios de Copa e Cozinha </t>
  </si>
  <si>
    <t xml:space="preserve">   Veículos </t>
  </si>
  <si>
    <t xml:space="preserve">   Equipamentos de Processamento de Dados </t>
  </si>
  <si>
    <t xml:space="preserve">   Biblioteca </t>
  </si>
  <si>
    <t xml:space="preserve">   Obras de Arte </t>
  </si>
  <si>
    <t xml:space="preserve">   Bens Móveis - Diversos</t>
  </si>
  <si>
    <t xml:space="preserve">   Edifícios </t>
  </si>
  <si>
    <t xml:space="preserve">   Salas </t>
  </si>
  <si>
    <t xml:space="preserve">   Terrenos </t>
  </si>
  <si>
    <t xml:space="preserve">   Marcas e Patentes </t>
  </si>
  <si>
    <t xml:space="preserve">   Concessão de Empréstimos a Creas</t>
  </si>
  <si>
    <t xml:space="preserve">   Transferências de Capital - Prodesu e outros Auxílios</t>
  </si>
  <si>
    <t xml:space="preserve">   Despesas de Capital de Exercícios Anteriores </t>
  </si>
  <si>
    <t xml:space="preserve">   Máquinas e Equipamentos</t>
  </si>
  <si>
    <t>5.2.2.1.2.01.05.03</t>
  </si>
  <si>
    <t xml:space="preserve">   Direitos de Uso de Sistemas</t>
  </si>
  <si>
    <t xml:space="preserve">   Despesas de Custeio </t>
  </si>
  <si>
    <t xml:space="preserve">   Aquisição, Reforma e Construção de Sede </t>
  </si>
  <si>
    <t xml:space="preserve">  Amortizações de Empréstimos (Dívida Fundada)</t>
  </si>
  <si>
    <t xml:space="preserve">   SUBVENÇÕES SOCIAIS prodesu, rref, convênios e auxílios</t>
  </si>
  <si>
    <t xml:space="preserve">   RESERVA DE CONTINGÊNCIA</t>
  </si>
  <si>
    <t xml:space="preserve">   Cargos em Comissão </t>
  </si>
  <si>
    <t xml:space="preserve">   Funções de Confiança</t>
  </si>
  <si>
    <t xml:space="preserve">   OBRAS E INSTALAÇÕES</t>
  </si>
  <si>
    <t>OBRAS E INSTALAÇÕES</t>
  </si>
  <si>
    <t xml:space="preserve">   TRANSFERÊNCIAS DE CAPITAL prodesu e outras transferências</t>
  </si>
  <si>
    <t>DESPESAS COM LOCOMOÇÃO / AUXÍLIO TRANSLADO (AT)</t>
  </si>
  <si>
    <t>AMORTIZAÇÃO DE EMPRÉSTIMOS</t>
  </si>
  <si>
    <t>TRANSFERÊNCIAS CORRENTES prodesu</t>
  </si>
  <si>
    <t>TRANSFERENCIAS CORRENTES prodesu</t>
  </si>
  <si>
    <t>Receita</t>
  </si>
  <si>
    <t>Resumo</t>
  </si>
  <si>
    <t>Total</t>
  </si>
  <si>
    <t>Receitas e Despesas Correntes</t>
  </si>
  <si>
    <t>Receitas e Despesas de Capital</t>
  </si>
  <si>
    <t xml:space="preserve">   Remuneração de Aplicações Financeiras</t>
  </si>
  <si>
    <t xml:space="preserve">   Dívida Ativa</t>
  </si>
  <si>
    <t xml:space="preserve">   Indenizações e Restituições</t>
  </si>
  <si>
    <t xml:space="preserve">   Participações e Dividendos</t>
  </si>
  <si>
    <t xml:space="preserve">   Cancelamento de Obrigações/Créditos</t>
  </si>
  <si>
    <t xml:space="preserve">   Atualização Monetária sobre PerdComp</t>
  </si>
  <si>
    <t xml:space="preserve">   Encargos Patronais</t>
  </si>
  <si>
    <t xml:space="preserve">   Remuneração de Pessoal</t>
  </si>
  <si>
    <t xml:space="preserve">   Benefícios a Pessoal</t>
  </si>
  <si>
    <t xml:space="preserve">   Benefícios Assistenciais</t>
  </si>
  <si>
    <t xml:space="preserve">   Uso de Bens e Serviços</t>
  </si>
  <si>
    <t xml:space="preserve">   Diárias</t>
  </si>
  <si>
    <t xml:space="preserve">   Deslocamentos Terrestres (DT)</t>
  </si>
  <si>
    <t xml:space="preserve">   Despesas com Locomoção / Auxílio Translado (AT)</t>
  </si>
  <si>
    <t xml:space="preserve">   Serviços de Terceiros - Pessoas Jurídicas</t>
  </si>
  <si>
    <t xml:space="preserve">   Tributos</t>
  </si>
  <si>
    <t xml:space="preserve">   Sentenças Judiciais</t>
  </si>
  <si>
    <t xml:space="preserve">   RESTITUIÇÕES, REEMBOLSOS E INDENIZAÇÕES</t>
  </si>
  <si>
    <t xml:space="preserve">   Despesas Correntes de Exercícios Anteriores</t>
  </si>
  <si>
    <t xml:space="preserve">   Despesas Miúdas de Pronto Pagamento</t>
  </si>
  <si>
    <t xml:space="preserve">   Subvenções Sociais (prodesu, rref, convênios e auxílios)</t>
  </si>
  <si>
    <t xml:space="preserve">   Equipamentos e Materiais Permanentes</t>
  </si>
  <si>
    <t xml:space="preserve">   Transferências de Capital (prodesu e outras transferências)</t>
  </si>
  <si>
    <t>Código da
Receita</t>
  </si>
  <si>
    <t>Contrato BRS: Serviços Outsourcing para operação de Almoxarifado Virtual,</t>
  </si>
  <si>
    <t>Contrato SOMPO: Seguro dos Bens Imóveis do Confea, incluindo os bens móveis</t>
  </si>
  <si>
    <t>A contratar: Manutenção e reforma de Mobiliário</t>
  </si>
  <si>
    <t>A contratar: Execução dos projetos executivos do Sistema de Prevenção de Combate a Incêndio (SPCI)</t>
  </si>
  <si>
    <t>Contrato CEB: Serviço público de Energia Elétrica - OBS: Baseado no consumo médio e possibilidade de reajuste</t>
  </si>
  <si>
    <t>Contrato CAESB: Serviço público de Abastecimento de Água e Esgotamento Sanitário - OBS: Baseado no consumo médio e possibilidade de reajuste</t>
  </si>
  <si>
    <t>Contrato R3CICLO: Obra de demolição SEPN 508 bloco B (Decisão Plenária 1714/2019) - Cronograma (Sei 0643157): Etapas 60 e 90 dias</t>
  </si>
  <si>
    <t>SEPRO</t>
  </si>
  <si>
    <t>SEGIN</t>
  </si>
  <si>
    <t>Contrato TELEFÔNICA: Licenciamento Microsoft (R$ 665.230,48) e mais Pré-empenho para a nova contratação</t>
  </si>
  <si>
    <t>Contrato SERVIX: Suporte e Garantia para o Storage NetApp FAS9000 (36 meses)</t>
  </si>
  <si>
    <t>Contrato SEAL: Licenças de software corporativo de conferência -- Vigência termina em 10/2023 e será avaliada a nova contratação, em razão da licença existente do Teams</t>
  </si>
  <si>
    <t>Contrato ALGAR: Link de Internet</t>
  </si>
  <si>
    <t>Contrato BLUE EYE: Soluções de proteção avançada para "Endpoints"</t>
  </si>
  <si>
    <t>Contrato AX48: Solução de Armazenamento de Dados</t>
  </si>
  <si>
    <t>A contratar: Renovação de Garantia dos Servidores Lenovo  --  24 meses</t>
  </si>
  <si>
    <t>A contratar: Renovação das Licenças VMWare (máquinas virtuais) --  36 meses</t>
  </si>
  <si>
    <t>Contrato RD7 PRODUÇÕES: Eventos na região Centro-Oeste - Vigente até 06/2023. O valor orçado reflete a execução do atual contrato e a necessidade de recursos para o processo licitatório</t>
  </si>
  <si>
    <t>SEPAT</t>
  </si>
  <si>
    <t>Contrato PICK-UP: Manutenção dos Veículos -- O contrato está em processo de aditivo de 25% do valor</t>
  </si>
  <si>
    <t>Contrato CORREIOS: Serviço público de postagem de documentos - Geral</t>
  </si>
  <si>
    <t>A contratar: Serviços Gráficos</t>
  </si>
  <si>
    <t>A contratar: Processo 00.002063/2022-14 em Licitação (Exercício 2021: R$ 750.000,00) + (Exercícios 2022/2023: R$ 1.500.000,00, sendo que para o Orçamento de 2023, será considerado 50% do total)</t>
  </si>
  <si>
    <t>Auxílio RREF: Não há Crea que preencha os requisitos, nos termos da Resolução</t>
  </si>
  <si>
    <t xml:space="preserve">A contratar: Desinsetização para combate a vetores e pragas urbanas </t>
  </si>
  <si>
    <t>Contrato DDA TECNOLOGIA: Serviços de guarda terceirizada de documentos</t>
  </si>
  <si>
    <t>RELACIONAMENTO INSTITUCIONAL</t>
  </si>
  <si>
    <t>GABI/APAR</t>
  </si>
  <si>
    <t>Contrato DATAPOLICY: Sistema Acompanhamento Legislativo - OBS: Contratação de novo sistema a partir de 09/2023</t>
  </si>
  <si>
    <t>Contrato AVISO URGENTE: Serviços de monitoramento de processos</t>
  </si>
  <si>
    <t>5.2.2.1.1.04.08.00</t>
  </si>
  <si>
    <t>Jetons</t>
  </si>
  <si>
    <t>TECNOLOGIA DA INFORMAÇÃO</t>
  </si>
  <si>
    <t>Informação SUJUD nº 72/2022 - R$ 1.646.000,00 para Condenações e R$ 200.000,00 para Honorários Advocatícios</t>
  </si>
  <si>
    <t>Custas e despesas judiciais e emolumentos</t>
  </si>
  <si>
    <t>Contrato ABNT: Fornecimento de canal de acesso virtual dedicado (link digital) ao banco de dados ABNT</t>
  </si>
  <si>
    <t>SETAR</t>
  </si>
  <si>
    <t>Taxa de Licenciamento Anual da Frota de Veículos do Confea</t>
  </si>
  <si>
    <t>A contratar: Aquisição de Câmeras de Monitoramento</t>
  </si>
  <si>
    <t>A contratar: Aquisição de Painéis de LED para o Plenário</t>
  </si>
  <si>
    <t>INFRAESTRUTURA</t>
  </si>
  <si>
    <t>RH/GEST</t>
  </si>
  <si>
    <t>RH/CTRL</t>
  </si>
  <si>
    <t>RH/NORM</t>
  </si>
  <si>
    <t>RH/COEV</t>
  </si>
  <si>
    <t>RH/INFRA</t>
  </si>
  <si>
    <t>RH/REL</t>
  </si>
  <si>
    <t>RH/ADM</t>
  </si>
  <si>
    <t>RH/TI</t>
  </si>
  <si>
    <t>Sei 0676373</t>
  </si>
  <si>
    <t>00.005121/2022-61</t>
  </si>
  <si>
    <t>Auxílios Creche e Escola</t>
  </si>
  <si>
    <t>5.2.2.1.1.04.02.09</t>
  </si>
  <si>
    <t>ADM</t>
  </si>
  <si>
    <t>TI</t>
  </si>
  <si>
    <t>REL</t>
  </si>
  <si>
    <t>Contrato TOTVS: Sistema RM Labore e Portal RH</t>
  </si>
  <si>
    <t>SETAC: Valor total de férias dividido por 3</t>
  </si>
  <si>
    <t>SETAC: Valor anual de 2019 (conforme orientação despacho GABI) + atualização dos índices de 2019 a 2023</t>
  </si>
  <si>
    <t>SETAC: Complementação salarial de todas as FC e CC, considerando a menor remuneração atual do quadro funcional (30 dias de substituição de férias + 15 dias para possíveis afastamentos)</t>
  </si>
  <si>
    <t>SETAC: Média dos últimos 3 anos completos (2019, 2020 e 2021)</t>
  </si>
  <si>
    <t>SETAC: Despacho GABI (Sei 0671508): Férias e 13º Salário Indenizados dos CLP Livre Nomeação/Exoneração</t>
  </si>
  <si>
    <t>Sei 0667670 e 0667671</t>
  </si>
  <si>
    <t>Sei 0667670, 0667671 e 0668383</t>
  </si>
  <si>
    <t>SEDEP: Capacitação de empregados; Dotação orçamentária de 2022 (R$ 300.000,00), acrescida de 10%</t>
  </si>
  <si>
    <t>Contrato BSB MED: Serviços de Medicina do Trabalho</t>
  </si>
  <si>
    <t>Contrato INSTITUTO FECOMÉRCIO: Serviços de intermediação de candidatos a estágios</t>
  </si>
  <si>
    <t>SEDEP: 37 vagas para 2023; Bolsa Estágio e Auxílio Transporte com reajuste de 4,80%</t>
  </si>
  <si>
    <t>Contrato CASA DE ISMAEL: Recrutamento, seleção, capacitação, contratação e acompanhamento de jovens aprendizes</t>
  </si>
  <si>
    <t>Contrato DEBRITO: Publicidade e Propaganda - Haverá licitação de novo contrato em 2023</t>
  </si>
  <si>
    <t>A contratar: Processo licitatório em andamento para Serviços de Comunicação Corporativa</t>
  </si>
  <si>
    <t>A contratar: Proposta de Edital de Patrocínio para 2023 em trâmite</t>
  </si>
  <si>
    <t>A contratar: Política contínua de Locação de Estande</t>
  </si>
  <si>
    <t>PRODESU IV</t>
  </si>
  <si>
    <t>Tarifas bancárias: PIX, TED, DOC, Manutenção de conta</t>
  </si>
  <si>
    <t>Sei 0677306</t>
  </si>
  <si>
    <t>Em contratação; Edital Licitação 34/2022 (Processo 04797/2021) - Ata de Registro de Preços 2022 - Aquisição de Notebooks (Lote 1)</t>
  </si>
  <si>
    <t>GEC</t>
  </si>
  <si>
    <t>PPA 2023/2024 - PIC-01 Modelo de Atuação do Sistema Confea/Crea - Planilha/Aba: PIC-01 GOV - Total: R$ 50.000,00</t>
  </si>
  <si>
    <t>PPA 2023/2024 - PIC-01 Modelo de Atuação do Sistema Confea/Crea - Planilha/Aba: PIC-01 ESTR - Total: R$ 2.460.000,00</t>
  </si>
  <si>
    <t>PPA</t>
  </si>
  <si>
    <t>PIC-01 ESTR</t>
  </si>
  <si>
    <t>PIC-01 GOV</t>
  </si>
  <si>
    <t xml:space="preserve">PIC-01 </t>
  </si>
  <si>
    <t>PIC-01 PPA</t>
  </si>
  <si>
    <t>PPA 2023/2024 - PIC-01 Modelo de Atuação do Sistema Confea/Crea - Planilha/Aba: PIC-01 PPA - Total: R$ 480.000,00</t>
  </si>
  <si>
    <t>PIC-02</t>
  </si>
  <si>
    <t>PIC-02 CONTAS</t>
  </si>
  <si>
    <t>Resolução 1.026/2009 Partição na Origem: Processamento de boletos bancários na CEF</t>
  </si>
  <si>
    <t>Resolução 1.026/2009 Partição na Origem: Devolução de Receitas, Restituição de Despesas Bancárias do BB e de Despesas Eventuais (Passagens, Eleições etc)</t>
  </si>
  <si>
    <t>03170/2021</t>
  </si>
  <si>
    <t>Sei 0659335</t>
  </si>
  <si>
    <t>Contrato IMPLANTA: Sistema Integrado de Gestão (SIG) - Mensalidade: 12 x R$ 23.217,95 + Banco UST: R$ 332.184,00 + Treinamento: R$ 74.595,00</t>
  </si>
  <si>
    <t>TI/ADM</t>
  </si>
  <si>
    <t>TI/RH</t>
  </si>
  <si>
    <t>TI/CTRL</t>
  </si>
  <si>
    <t>PPA 2023/2024 - PIC-02 Sistema de Controle Interno e Gestão de Riscos - Planilha/Aba: PIC-02 CONTAS - Total: R$ 50.000,00</t>
  </si>
  <si>
    <t>PPA 2023/2024 - PIC-02 Sistema de Controle Interno e Gestão de Riscos - Planilha/Aba: PIC-02 PAINT - Total: R$ 285.000,00 (PAINT e Treinamento)</t>
  </si>
  <si>
    <t>PIC-02 PAINT</t>
  </si>
  <si>
    <t>PIC-03</t>
  </si>
  <si>
    <t>PIC-05</t>
  </si>
  <si>
    <t>PIC-08</t>
  </si>
  <si>
    <t>PPA 2023/2024 - PIC-03 Gestão Estratégica da Fiscalização do Sistema Confea/Crea - Planilha/Aba: PIC-03 - Total: R$ 215.000,00</t>
  </si>
  <si>
    <t>PPA 2023/2024 - PIC-04 Planejamento Integrado da Fiscalização do Sistema Confea/Crea - Planilha/Aba: PIC-04 - Total: R$ 265.000,00</t>
  </si>
  <si>
    <t>PPA 2023/2024 - PIC-05 Programa de Fomento - Planilha/Aba: PIC-05 - Total: R$ 50.000,00</t>
  </si>
  <si>
    <t>PPA 2023/2024 - PIC-06 Agenda 2030 - Planilha/Aba: PIC-06 - Total: R$ 170.000,00</t>
  </si>
  <si>
    <t>PPA 2023/2024 - PIC-08 Propostas para o Brasil - Planilha/Aba: PIC-08 - Total: R$ 450.000,00</t>
  </si>
  <si>
    <t>PIC-13</t>
  </si>
  <si>
    <t xml:space="preserve">PPA 2023/2024 - PIC-13 Programa de Inovação - Planilha/Aba: PIC-13 - Consultoria de Gestão da Inovação - Total: R$ 1.430.000,00 </t>
  </si>
  <si>
    <t>Assessoramento de auditores do Confea ao Sistema e Assessoramento de empregados dos Creas à instrução de processos de prestação de contas anuais no Confea</t>
  </si>
  <si>
    <t xml:space="preserve">A contratar: LAI Desenvolvimento de Solução TI para Gestão da Transparência </t>
  </si>
  <si>
    <t>A contratar: SIGECON/RONDÔNIA Desenvolvimento de Solução de TI para adaptação às necessidades do Confea; Gestão de Convênios</t>
  </si>
  <si>
    <t>PROJ</t>
  </si>
  <si>
    <t>Reuniões no CP</t>
  </si>
  <si>
    <t>Assessoramento jurídico em demandas judiciais</t>
  </si>
  <si>
    <t>00.005122/2022-14</t>
  </si>
  <si>
    <t>Sei 0666315</t>
  </si>
  <si>
    <t>Reuniões do Conselho Gestor do Prodesu (11)</t>
  </si>
  <si>
    <t>Assessoramento ao aperfeiçoamento da capacidade institucional do Sistema</t>
  </si>
  <si>
    <t>GER's</t>
  </si>
  <si>
    <t>Assessoramento em estratégia e gestão</t>
  </si>
  <si>
    <t>00.005133/2022-96</t>
  </si>
  <si>
    <t>Sei 0678399</t>
  </si>
  <si>
    <t>Despacho GDI - Total Geral: R$ 33.775.000,00 (DC: R$ 13.510.000,00 + DK: R$ 20.265.000,00)</t>
  </si>
  <si>
    <t>00.005128/2022-83</t>
  </si>
  <si>
    <t>Sei 0670338</t>
  </si>
  <si>
    <t>Sei 0670338 e 0670347</t>
  </si>
  <si>
    <t>78ª SOEA - Gramado/RS - Período: 09 a 11/08/2023</t>
  </si>
  <si>
    <t>A contratar: Firewall de Rede, por ausência de empresa para lidar com defeitos nos produtos e adequações nas regras de acesso</t>
  </si>
  <si>
    <t>A contratar: Firewall de Aplicação WAF + Balanceador da Carga, por necessidade de proteger as aplicações Web com filtragem e monitoramento do tráfico</t>
  </si>
  <si>
    <t>e-mail</t>
  </si>
  <si>
    <t>A contratar: Privileged Access Manager (PAM) e Cofre de Senhas, por possibilidades de erros e dificuldades no rastreamento de ações</t>
  </si>
  <si>
    <t>A contratar: Solução de Inventário e Gerenciamento de Endpoint</t>
  </si>
  <si>
    <t>A contratar: Solução de Inteligência Artificial para Redes</t>
  </si>
  <si>
    <t>A contratar: Solução de Monitoramento da Rede</t>
  </si>
  <si>
    <t>A contratar: Solução para Validação dos Dados Profissionais</t>
  </si>
  <si>
    <t>A contratar: Carteira Profissional Digital, para propor alternativas aos profissionais com base nas mais recentes tecnologias</t>
  </si>
  <si>
    <t>A contratar: Serviços técnicos especializados de Pesquisa e Aconselhamento imparcial em Tecnologia da Informação</t>
  </si>
  <si>
    <t>A contratar: Reestruturação dos Servidores Active Directory</t>
  </si>
  <si>
    <t>A contratar: Licenças de Software do tipo proprietário Microsoft</t>
  </si>
  <si>
    <t>A contratar: Auditoria em File Server, Active Directory e 365</t>
  </si>
  <si>
    <t>A contratar: Aquisição de Tablets</t>
  </si>
  <si>
    <t>Não houve demanda</t>
  </si>
  <si>
    <t>A contratar: Aquisições de Livros para a Gerência de Contratações (GEC)</t>
  </si>
  <si>
    <t>A contratar: Serviços técnicos para avaliação de valor de mercado dos Imóveis do Confea; Será contratado ainda em 2022</t>
  </si>
  <si>
    <t>Não há demanda</t>
  </si>
  <si>
    <t>A contratar: Assinatura de Portal para Suporte em Licitações</t>
  </si>
  <si>
    <t>LIDER</t>
  </si>
  <si>
    <t>PPA 2023/2024 - PIC-16 SEI Multiórgãos - Planilha/Aba: PIC-16 - Total: R$ 150.000,00</t>
  </si>
  <si>
    <t>PIC-19</t>
  </si>
  <si>
    <t>PPA 2023/2024 - Registro - Coordenação de processos finalísticos (Profissional, Empresa, Escolas e Cursos)</t>
  </si>
  <si>
    <t>PPA 2023/2024 - Julgamento - Coordenação de processos finalísticos (Profissional, Empresa, Escolas e Cursos)</t>
  </si>
  <si>
    <t>Atividades de Controle Interno e Gestão de Risco</t>
  </si>
  <si>
    <t>Atividades de Correição (Sindicância)</t>
  </si>
  <si>
    <t>GCF-Registro</t>
  </si>
  <si>
    <t>GCF-Julgamento</t>
  </si>
  <si>
    <t>LGPD</t>
  </si>
  <si>
    <t>PIC-15</t>
  </si>
  <si>
    <t xml:space="preserve">PPA 2023/2024 - PIC-15 Recomposição do Quadro de Pessoal (Movimentação e Capacitação) - A contratar: Consultoria para a Modernização do Processo de Gestão do Desempenho/Estrutura de Carreira/Processo de Progressão Funcional </t>
  </si>
  <si>
    <t>PPA?</t>
  </si>
  <si>
    <t>PII-03</t>
  </si>
  <si>
    <t>PIC-12</t>
  </si>
  <si>
    <t>PPA 2023/2024 - LGPD Viagens para implantação da LGPD no âmbito do Sistema Confea/Crea</t>
  </si>
  <si>
    <t>PPA 2023/2024 - PII-03 Certificação Profissional - CCA-Brasil Conteudistas para elaboração do programa de certificação profissional</t>
  </si>
  <si>
    <t>PPA 2023/2024 - LGPD Contratação de consultoria (R$ 1.662.000,00) e de Solução de TI mascaramento de dados (R$ 1.808.000,00)</t>
  </si>
  <si>
    <t>PPA 2023/2024 - PIC-12 Gestão Orçamentária do Sistema Confea/Crea - Planilha/Aba: PIC-12 - Total: R$ 95.000,00</t>
  </si>
  <si>
    <t>FISC</t>
  </si>
  <si>
    <t>RH/FISC</t>
  </si>
  <si>
    <t>e-mail Talita; 06/11/2022</t>
  </si>
  <si>
    <t>A contratar: Auditoria do processo eleitoral (R$ 300.000,00) e auditoria do banco de dados (R$ 150.000,00)</t>
  </si>
  <si>
    <t>A contratar: Sistema de Votação pela Internet - Sistema de Votação (R$ 2.251.311,30 + 10%), Serviço de Call Center (R$ 63.840,00 + 10%), Envio de SMS (R$ 246.572,19 + 10%) e Envio de E-mail Transacional (R$ 160.807,95 + 10%)</t>
  </si>
  <si>
    <t>Atividades do SAF</t>
  </si>
  <si>
    <t>Atividades do SEG</t>
  </si>
  <si>
    <t>Atividades do SIS</t>
  </si>
  <si>
    <t>2 Comissões Temáticas (2 Consel + 3 Espec) e 2 Grupos de Trabalho (3 Consel + 2 Espec)</t>
  </si>
  <si>
    <t>5 Especialistas (CEAP e-MEC) convidados pela CEAP para 4 reuniões</t>
  </si>
  <si>
    <t>Sei 0670330 (ajuste plan GPG)</t>
  </si>
  <si>
    <t>2 Empreg. CREA (10 reuniões) + 3 Empreg. CONFEA (3 reuniões fora de Brasília) + 7 Empreg. CONFEA (3 visitas técnicas)</t>
  </si>
  <si>
    <t>1 Coord. CCEC (10 reuniões)</t>
  </si>
  <si>
    <t>1 Presid. Confea (3 reuniões fora de Brasília) + 3 Cons. Fed (10 reuniões) + 3 Presid. Creas (10 reuniões)</t>
  </si>
  <si>
    <t>DIR</t>
  </si>
  <si>
    <t>Atividades da Assessoria Parlamentar (APAR)</t>
  </si>
  <si>
    <t>Atividades de Assessoramento à Presidência (GABI)</t>
  </si>
  <si>
    <t>TI/DIR</t>
  </si>
  <si>
    <t xml:space="preserve">GCF/Fortalece: Assessoramento à capacidade institucional do Sistema </t>
  </si>
  <si>
    <t>Assessoramento em relações públicas:  GCO (5 reuniões CP e 12 eventos) e Mestre de Cerimônia (13 eventos)</t>
  </si>
  <si>
    <t>3 colaboradores da TV Confea no CP Colégio de Presidentes (5 reuniões fora de Brasília)</t>
  </si>
  <si>
    <t>Gestão da infraestrutura de eventos aos fóruns consultivos</t>
  </si>
  <si>
    <t>Gestão do patrocínio e promoção: Patrocínio (77 eventos) + Estandes (10 eventos)</t>
  </si>
  <si>
    <t>PAT</t>
  </si>
  <si>
    <t xml:space="preserve">Contrato CORREIOS: Postagem de Materiais Gráficos  </t>
  </si>
  <si>
    <t>Assessoramento em relacionamento institucional intrassistema (CP Regionais e demandas)</t>
  </si>
  <si>
    <t>Fiscalização de convênios do Prodesu pelas Gerências Regionais (GER-Prodesu)</t>
  </si>
  <si>
    <t>Palestrantes: Assessoramento em relacionamento parlamentar</t>
  </si>
  <si>
    <t>Assessoramento em tecnologia da informação (CP, Reuniões Técnicas e outras demandas)</t>
  </si>
  <si>
    <t>INTRA/REPR</t>
  </si>
  <si>
    <t>INTRA/TEC</t>
  </si>
  <si>
    <t>Participação de representantes do Sistema na implementação de acordos de cooperação técnica (ACT) com organizações nacionais</t>
  </si>
  <si>
    <t>SETAR-ACT</t>
  </si>
  <si>
    <t>Participação de representantes do Sistema em organizações nacionais</t>
  </si>
  <si>
    <t>SETAR-REPR</t>
  </si>
  <si>
    <t>Assessoramento em relacionamento institucional</t>
  </si>
  <si>
    <t>Participação de representantes do Sistema em eventos técnico-profissionais em âmbito nacional</t>
  </si>
  <si>
    <t>GRI-TEC</t>
  </si>
  <si>
    <t>Participação em treinamento externo / assessoramento ao Sistema e demandas diversas</t>
  </si>
  <si>
    <t>Seminário de Renovação do Terço (Encontro das Comissões de Renovação do Terço dos Creas)</t>
  </si>
  <si>
    <t>S.CRTs</t>
  </si>
  <si>
    <t>APIS/NORM</t>
  </si>
  <si>
    <t>S.CEPs</t>
  </si>
  <si>
    <t>S.CEAPs</t>
  </si>
  <si>
    <t>APIS/DIR</t>
  </si>
  <si>
    <t>Seminário Eleitoral (3 reuniões: 1 Técnica, 1 Jurídica e 1 Política)</t>
  </si>
  <si>
    <t>S.CERs</t>
  </si>
  <si>
    <t>Seminário Eleitoral (3 reuniões: 1 Técnica, 1 Jurídica e 1 Política) + 3 Palestrantes</t>
  </si>
  <si>
    <t>E.Líderes</t>
  </si>
  <si>
    <t>Encontro de Líderes Representantes - OBS: 10 Apoio Técnico estão na CCEC</t>
  </si>
  <si>
    <t>Encontro de Líderes Representantes - OBS: CP, CDEN, CCEC estão nos seus Centros de Custos</t>
  </si>
  <si>
    <t>SIS/ENC LIDERES</t>
  </si>
  <si>
    <t>GRI / CCEC</t>
  </si>
  <si>
    <t>GRI / CP</t>
  </si>
  <si>
    <t>CP - As despesas estão previstas nos Centros de Custos de lotação dos empregados</t>
  </si>
  <si>
    <t>F. CP</t>
  </si>
  <si>
    <t>CP: Presid. Confea (1); Presid. Creas (27); Cons. Federais (11 = 5 Com.Permanentes + 6 Diretores)</t>
  </si>
  <si>
    <t>CP: Palestrante (1) - As despesas da TV Confea estão previstas no Centro de Custo COEV</t>
  </si>
  <si>
    <t>CCEC: Empregados Confea (10 x 1 RO fora de Brasília) + Empregados Creas (10 x 4 RO)</t>
  </si>
  <si>
    <t>CCEC: Cons. Regional (270 - 10 = 260); Cons. Federal CEEP (1/CCEC x 3RO); Cons. Federal da Modalidade (Até 4/modalidade)</t>
  </si>
  <si>
    <t>CCEC: Não há previsão de Colaboradores</t>
  </si>
  <si>
    <t>F. CCEC</t>
  </si>
  <si>
    <t>GRI / CDEN</t>
  </si>
  <si>
    <t>F. CDEN</t>
  </si>
  <si>
    <t>CDEN: Empregados Confea (2 x 1 RO fora de Brasília)</t>
  </si>
  <si>
    <t>CDEN: Presid. Confea (1); Conselheiro CAIS (1)</t>
  </si>
  <si>
    <t>CDEN: 26 membros</t>
  </si>
  <si>
    <t>SIS / NOVOS</t>
  </si>
  <si>
    <t>W. Novos</t>
  </si>
  <si>
    <t>Workshop Novos Conselheiros: Em Brasília</t>
  </si>
  <si>
    <t>Workshop Novos Conselheiros: 2 Palestrantes (1,5 diárias)</t>
  </si>
  <si>
    <t>Workshop Novos Conselheiros: 2 dias Workshop (6 Tit + 6 Supl) + 1 dia Nivelamento Orçamento (12 Novos + 12 Em mandato)</t>
  </si>
  <si>
    <t>vvv</t>
  </si>
  <si>
    <t>Contrato GSI: Serviço de Motorista Executivo - OBS: Foi acrescido 10% para repactuação</t>
  </si>
  <si>
    <t>Contrato DIAGONAL: Limpeza e conservação, garagem, portaria, recepção e outros - OBS: Estão em andamento a rescisão com a Diagonal e o novo processo de licitação com valor de R$ 5.400.000,00 p/ 2 anos</t>
  </si>
  <si>
    <t>Contrato EURO: Vigilância armada diurna e noturna - OBS: Serão reduzidos 25% por conta da demolição do Bloco B e foi acrescido 10% para repactuação</t>
  </si>
  <si>
    <t>Contrato DLF: Serviços continuados de brigada de incêndio - OBS: Foi acrescido 10% para repactuação</t>
  </si>
  <si>
    <t>GRI / MULHER</t>
  </si>
  <si>
    <t>AGET/REL</t>
  </si>
  <si>
    <t>AGET CGMulher</t>
  </si>
  <si>
    <t>Conselho Gestor Programa Mulher: CDEN (1)</t>
  </si>
  <si>
    <t>AGET CGMulher-Nacional</t>
  </si>
  <si>
    <t>Programa Mulher: 2 Encontros Nacionais em Brasília</t>
  </si>
  <si>
    <t>Programa Mulher: 2 Encontros Nacionais em Brasília (1 CDEN)</t>
  </si>
  <si>
    <t>AGET CGMulher-Regional</t>
  </si>
  <si>
    <t>Programa Mulher: 5 Encontros Regionais (1 cada Região) (1 Cons. Federal + 1 Presid. Crea + 27 Cons. Regionais)</t>
  </si>
  <si>
    <t>Programa Mulher: 2 Encontros Nacionais em Brasília (1 Presid. Confea + 1 Presid. Crea + 1 Cons. Federal + 27 Cons. Regionais)</t>
  </si>
  <si>
    <t>Programa Mulher: 5 Encontros Regionais (1 cada Região) (1 CDEN)</t>
  </si>
  <si>
    <t>Comitê Gestor Programa Mulher: 4 Reuniões em Brasília</t>
  </si>
  <si>
    <t>Comitê Gestor Programa Mulher: Presid. Confea (1) + Cons. Federal (1) + Presid. Crea (1) + CCEC (1)</t>
  </si>
  <si>
    <t>Comitê Gestor Programa Mulher: CDEN (1)</t>
  </si>
  <si>
    <t>Programa Mulher: 5 Encontros Regionais (1 cada Região) (2 Empregados)</t>
  </si>
  <si>
    <t>GRI / CREA-JR</t>
  </si>
  <si>
    <t>AGET Crea-JR Nacional</t>
  </si>
  <si>
    <t>Programa Crea-Júnior: 1 Encontro Nacional (1 Empregado por Crea)</t>
  </si>
  <si>
    <t>Programa Crea-Júnior: 1 Encontro Nacional (1 Cons. Federal)</t>
  </si>
  <si>
    <t>Programa Crea-Júnior: Não há previsão de Colaborador</t>
  </si>
  <si>
    <t>SEG / CG Governança</t>
  </si>
  <si>
    <t>AGET/GEST</t>
  </si>
  <si>
    <t>AGET CGEST</t>
  </si>
  <si>
    <t>Comitê Gestor de Governança CGEST: Não há participante</t>
  </si>
  <si>
    <t>Comitê Gestor de Governança CGEST: Presid. Confea (1) + Diretor (1) + 4 Empregados (GABI+SIS+SEG+SAF)</t>
  </si>
  <si>
    <t>SEG / GPG / ETOS</t>
  </si>
  <si>
    <t>ETOS</t>
  </si>
  <si>
    <t>ETOS-Total</t>
  </si>
  <si>
    <t>Encontros Técnicos Operacionais (17)</t>
  </si>
  <si>
    <t>Comissão CEAP (3 Cons Fed): 11 Reuniões Ordinárias + 2 Extraordinárias Presenciais + 2 Extraordinárias Virtuais</t>
  </si>
  <si>
    <t>Comissão CEAP (3 Cons Fed): 1 Reunião fora de Brasília</t>
  </si>
  <si>
    <t>Comissão CEAP (3 Cons Fed):1 Reunião fora de Brasília</t>
  </si>
  <si>
    <t>SIS / CEAP</t>
  </si>
  <si>
    <t>CEAP e-MEC</t>
  </si>
  <si>
    <t>CT + GT</t>
  </si>
  <si>
    <t>Encontro das Comissões de Educação e Atribuição Profissional dos Creas (CEAPs)</t>
  </si>
  <si>
    <t xml:space="preserve"> Seminário Nacional de Ética (Encontro das Comissões de Ética Profissional dos Creas - CEEPs)</t>
  </si>
  <si>
    <t>Comissão CCSS (3 Cons Fed): 1 Reunião fora de Brasília</t>
  </si>
  <si>
    <t>SIS / CCSS</t>
  </si>
  <si>
    <t>Comissão CCSS (3 Cons Fed): 3 Cons Fed: 11 Reuniões Ordinárias + 2 Extraordinárias Presenciais + 2 Extraordinárias Virtuais</t>
  </si>
  <si>
    <t>Comissão CAIS:  1 Reunião fora de Brasília</t>
  </si>
  <si>
    <t>Comissão CEEP: 1 Reunião fora de Brasília</t>
  </si>
  <si>
    <t>Comissão CEEP (4 Cons Fed): 11 Reuniões Ordinárias + 2 Extraordinárias Presenciais + 2 Extraordinárias Virtuais</t>
  </si>
  <si>
    <t>Comissão CAIS (4 Cons Fed): 11 Reuniões Ordinárias + 2 Extraordinárias Presenciais + 2 Extraordinárias Virtuais</t>
  </si>
  <si>
    <t>SIS / CAIS</t>
  </si>
  <si>
    <t>SIS / CEEP</t>
  </si>
  <si>
    <t>Comissão CNP (4 Cons Fed): 11 Reuniões Ordinárias + 2 Extraordinárias Presenciais + 2 Extraordinárias Virtuais</t>
  </si>
  <si>
    <t>Comissão CONP: 1 Reunião fora de Brasília</t>
  </si>
  <si>
    <t>SIS / CONP</t>
  </si>
  <si>
    <t>Comissão CEF (5 Cons Fed): 20 Reuniões Ordinárias + 20 Extraordinárias Virtuais</t>
  </si>
  <si>
    <t>Comissão CEF (2 Empreg): 5 Reuniões fora de Brasília</t>
  </si>
  <si>
    <t>SIS / CME</t>
  </si>
  <si>
    <t>Comissão CME (5 Cons Fed): 12 reuniões</t>
  </si>
  <si>
    <t>Comissão CME: 2 Reuniões fora de Brasília</t>
  </si>
  <si>
    <t>PROJ / CEF</t>
  </si>
  <si>
    <t>GCO / CON</t>
  </si>
  <si>
    <t>Composição CCM: 1 Coord. CCEC (6 reuniões)</t>
  </si>
  <si>
    <t>Composição CCM: 2 Empreg. CREA (6 reuniões em Brasília)</t>
  </si>
  <si>
    <t>Composição CCM: Presid. Confea + 1 Presid. CREA + 2 Cons. Federais (6 reuniões em Brasília)</t>
  </si>
  <si>
    <t>GCO / CCM</t>
  </si>
  <si>
    <t>Encontros Técnicos Operacionais (17) - INSS (20%) sobre contratações de Palestrantes PF</t>
  </si>
  <si>
    <t>A contratar: Empresa de Assessoria Parlamentar (APAR) para Encontro de Líderes Representantes - "Café com Política"</t>
  </si>
  <si>
    <t>APLE</t>
  </si>
  <si>
    <t>Plenário: 10 Sessões Plenárias Ordinárias (1 Coordenador de cada CCEC) + 12 Novos Conselheiros (Posse)</t>
  </si>
  <si>
    <t>Plenário: 12 CAA (Presidente Confea + 10 Conselheiros)+ 12 Sessões Plenárias Ordinárias + 3 Extraordinárias (Presidente Confea + 18 Conselheiros + Presidente CP)</t>
  </si>
  <si>
    <t>Plenário: 12 Sessões Plenárias Ordinárias + 3 Extraordinárias (Presidente Confea + 18 Conselheiros)</t>
  </si>
  <si>
    <t>GABI / CD</t>
  </si>
  <si>
    <t>Composição CD (1 Presid Confea + 1 Vice Presidente + 5 Diretores ): Reuniões Ordinárias (11) e Extraordinárias (11)</t>
  </si>
  <si>
    <t>Somente em 2025: Acompanhamento CEPs Regionais em 3 estados de cada região geográfica</t>
  </si>
  <si>
    <t>N/A</t>
  </si>
  <si>
    <t>Somente em 2025: Convênios para realização dos CEP's</t>
  </si>
  <si>
    <t>SIS / CEP</t>
  </si>
  <si>
    <t>Somente em 2025: 12º CNP</t>
  </si>
  <si>
    <t>Somente em 2025: Convênio para realização do 12º CNP</t>
  </si>
  <si>
    <t>SEG / CNP</t>
  </si>
  <si>
    <t>CG-PRODESU</t>
  </si>
  <si>
    <t>COPIMERA - Taxa de Anuidade: USD 400,00 (x 5,50)</t>
  </si>
  <si>
    <t>COPIMERA - Não há previsão de inscrições</t>
  </si>
  <si>
    <t>COPIMERA - IRRF 0473 (20% sobre o valor da remessa para o exterior)</t>
  </si>
  <si>
    <t>WCCE - Não há previsão de inscrições</t>
  </si>
  <si>
    <t>WCCE - IRRF 0473 (20% sobre o valor da remessa para o exterior)</t>
  </si>
  <si>
    <t>WCCE - Taxa de Anuidade: EUR 2.100,00 (x 5,50)</t>
  </si>
  <si>
    <t>WCCE - USD 5,50 - (6 pessoas): 1 Presid Confea, 1 Cons Fed, 1 CP, 1 CDEN, 1 CCEC, 1 Empreg Confea</t>
  </si>
  <si>
    <t>COPIMERA - USD 5,50 - (6 pessoas): 1 Presid Confea, 1 Cons Fed, 1 CP, 1 CDEN, 1 CCEC, 1 Empreg Confea</t>
  </si>
  <si>
    <t>WCCE - Tarifas bancárias: Envio de Ordem de Pagamento para o Exterior - BB R$ 550,00/remessa vigente a partir de 04/11/2022</t>
  </si>
  <si>
    <t>COPIMERA - Tarifas bancárias: Envio de Ordem de Pagamento para o Exterior - BB R$ 550,00/remessa vigente a partir de 04/11/2022</t>
  </si>
  <si>
    <t>FMOI - IRRF 0473 (20% sobre o valor da remessa para o exterior)</t>
  </si>
  <si>
    <t>FMOI - Tarifas bancárias: Envio de Ordem de Pagamento para o Exterior - BB R$ 550,00/remessa vigente a partir de 04/11/2022</t>
  </si>
  <si>
    <t>FMOI 2 Reuniões - USD 5,50 - (6 pessoas): 1 Presid Confea, 1 Cons Fed, 1 CP, 1 CDEN, 1 CCEC, 1 Empreg Confea</t>
  </si>
  <si>
    <t>WCCE</t>
  </si>
  <si>
    <t>COPIMERA</t>
  </si>
  <si>
    <t>FMOI</t>
  </si>
  <si>
    <t>OEA/OECV/OEP/SIB/OEM/CIAM/CECPC - 7 Acordos de Mobilidade Profissional - (6 pessoas): 1 Presid Confea, 1 Cons Fed, 1 CP, 1 CDEN, 1 CCEC, 1 Empreg Confea</t>
  </si>
  <si>
    <t>PII-02</t>
  </si>
  <si>
    <t>FMOI - Não há previsão de inscrições</t>
  </si>
  <si>
    <t>OEA/OECV/OEP/SIB/OEM/CIAM/CECPC - Não há previsão de inscrições</t>
  </si>
  <si>
    <t>APERF. TÉCNICO - 5 Missões Internacionais - USD 5,50 - (6 pessoas): 1 Presid Confea, 1 Cons Fed, 1 CP, 1 CDEN, 1 CCEC, 1 Empreg Confea</t>
  </si>
  <si>
    <t>APERF. TÉCNICO - 5 Missões Internacionais - Tarifas bancárias: Envio de Ordem de Pagamento para o Exterior - BB R$ 550,00/remessa vigente a partir de 04/11/2022</t>
  </si>
  <si>
    <t>APERF. TÉCNICO - 5 Missões Internacionais - USD 5,50 - (5 Missões x 6 pessoas x USD 1.000,00): 1 Presid Confea, 1 Cons Fed, 1 CP, 1 CDEN, 1 CCEC, 1 Empreg Confea</t>
  </si>
  <si>
    <t>APERF. TÉCNICO - 5 Missões Internacionais - IRRF 0473 (20% sobre o valor da remessa para o exterior)</t>
  </si>
  <si>
    <t>PII-04</t>
  </si>
  <si>
    <t>Atividades da Presidência, Representações do Presidente, Visitas autorizadas pelo Presidente</t>
  </si>
  <si>
    <t>INTER/MOBIL</t>
  </si>
  <si>
    <t>INTER/TEC</t>
  </si>
  <si>
    <t>INTER/REPR</t>
  </si>
  <si>
    <t>RH/DIR</t>
  </si>
  <si>
    <t>Sei 0679447, 0679898 e 0679967</t>
  </si>
  <si>
    <t>SETAC: Percentuais dos encargos aplicados sobre os valores remuneratórios</t>
  </si>
  <si>
    <t>SETAC: 3 meses remuneração atual e 8 meses remuneração com reajuste de 4%; Progressão Funcional de 1%; Contratação de 10 Analistas por Concurso Público a partir do mês 01/2022 para RH/DIR e RH/GEST</t>
  </si>
  <si>
    <t>Sei 0671508, 0679447, 0679898 e 0679967</t>
  </si>
  <si>
    <t xml:space="preserve">SETAC: 3 meses remuneração atual e 8 meses remuneração com reajuste de 4% </t>
  </si>
  <si>
    <t>SETAC: 3 meses remuneração atual e 8 meses remuneração com reajuste de 4%; Contratação de 8 CLP Assessor III no GABI</t>
  </si>
  <si>
    <t>SETAC: 30 dias de remuneração com reajuste de 4%</t>
  </si>
  <si>
    <t>SETAC: Valor anual de 2021 (ano fechado) + reajuste 2022 + reajuste 2023 de 4%</t>
  </si>
  <si>
    <t>SETAC: Remuneração de 11 meses + Férias + 13º + Aux Alimentação + Auxílio Escola com reajuste de 4%</t>
  </si>
  <si>
    <t>SETAC: Apenas 1 empregado é optante do benefício (RH/ADM)</t>
  </si>
  <si>
    <t>SETAC: 4 meses do Auxílio atual e 8 meses do Auxílio com reajuste de 4%</t>
  </si>
  <si>
    <t>Contrato CENTRAL UNIMED - SETAC: 6 meses do valor contratual vigente e 6 meses com reajuste de 11,73%</t>
  </si>
  <si>
    <t>Contrato INPAO DENTAL - SETAC: 11 meses do valor contratual vigente e 1 mês com reajuste de 5,96%</t>
  </si>
  <si>
    <t>A Contratar - SEDEP: Mesmo valor originalmente empenhado em 2022</t>
  </si>
  <si>
    <t>SETAC: 4 meses da contribuição Patronal atual e 8 meses com reajuste de 4%</t>
  </si>
  <si>
    <t>SEDEP: Pactuado com a GRH a previsão para concessão de até 4 Auxílios-Bolsa para o ano de 2023 na RH/NORM, RH/ADM, RH/CTRL e RH/REL</t>
  </si>
  <si>
    <t>SETAC: ONEIDA, média de reajustes dos últimos 3 anos para 12 meses; INÁCIO, índice de 4% para 8 meses</t>
  </si>
  <si>
    <t>SETAC: Previsão de 2 Auxílios por Centro de Custo, com reajuste de 4%</t>
  </si>
  <si>
    <t>SETAC: Quantitativo atual de Dependentes na faixa etária elegível (147 dependentes) - 8 meses com reajuste de 4%</t>
  </si>
  <si>
    <t>Solicitado pela Assessoria da CONSOEA</t>
  </si>
  <si>
    <t>Valor para equilibrar as Receitas = Despesas</t>
  </si>
  <si>
    <t>PPA 2023/2024 - PIC-19 Inteligência de Negócio (BI) - Planilha/Aba: PIC-19 - Contratação de consultoria (R$ 775.000,00) e de Solução de TI para BI (R$ 1.215.000,00)</t>
  </si>
  <si>
    <t>REG</t>
  </si>
  <si>
    <t>REGISTRO</t>
  </si>
  <si>
    <t>Contrato IDEIAS: Seminário Nacional de Ética (Encontro das Comissões de Ética Profissional dos Creas - CEEPs)</t>
  </si>
  <si>
    <t>Contrato IDEIAS: Encontro das Comissões de Educação e Atribuição Profissional dos Creas (CEAPs)</t>
  </si>
  <si>
    <t>Contrato IDEIAS: Seminário de Renovação do Terço (Encontro das Comissões de Renovação do Terço dos Creas)</t>
  </si>
  <si>
    <t>Contrato IDEIAS: 2 Comissões Temáticas (2 Consel + 3 Espec) e 2 Grupos de Trabalho (3 Consel + 2 Espec)</t>
  </si>
  <si>
    <t>Contrato IDEIAS: Comissão CAIS (4 Cons Fed): 11 Reuniões Ordinárias + 2 Extraordinárias Presenciais + 2 Extraordinárias Virtuais</t>
  </si>
  <si>
    <t>Contrato IDEIAS: Comissão CCSS (3 Cons Fed): 3 Cons Fed: 11 Reuniões Ordinárias + 2 Extraordinárias Presenciais + 2 Extraordinárias Virtuais</t>
  </si>
  <si>
    <t>Contrato IDEIAS: Comissão CEAP (3 Cons Fed): 3 Cons Fed: 11 Reuniões Ordinárias + 2 Extraordinárias Presenciais + 2 Extraordinárias Virtuais</t>
  </si>
  <si>
    <t>Contrato IDEIAS: Comissão CEEP (4 Cons Fed): 11 Reuniões Ordinárias + 2 Extraordinárias Presenciais + 2 Extraordinárias Virtuais</t>
  </si>
  <si>
    <t>Contrato IDEIAS: Comissão CNP (4 Cons Fed): 11 Reuniões Ordinárias + 2 Extraordinárias Presenciais + 2 Extraordinárias Virtuais</t>
  </si>
  <si>
    <t>Contrato IDEIAS: Plenário: 12 CAA (Presidente Confea + 10 Conselheiros)+ 12 Sessões Plenárias Ordinárias + 3 Extraordinárias (Presidente Confea + 18 Conselheiros + Presidente CP)</t>
  </si>
  <si>
    <t>Contrato IDEIAS: Composição CCM: Presid. Confea + 1 Presid. CREA + 2 Cons. Federais (6 reuniões em Brasília)</t>
  </si>
  <si>
    <t>Contrato IDEIAS: Reuniões do Conselho Gestor do Prodesu (11)</t>
  </si>
  <si>
    <t>Contrato IDEIAS: Atividades de Correição (Sindicância)</t>
  </si>
  <si>
    <t>Contrato IDEIAS: Seminário Eleitoral (3 reuniões: 1 Técnica, 1 Jurídica e 1 Política)</t>
  </si>
  <si>
    <t>Contrato IDEIAS: Workshop Novos Conselheiros: 2 dias Workshop (6 Tit + 6 Supl) + 1 dia Nivelamento Orçamento (12 Novos + 12 Em mandato)</t>
  </si>
  <si>
    <t>Contrato IDEIAS: CCEC: Cons. Regional (270 - 10 = 260); Cons. Federal CEEP (1/CCEC x 3RO); Cons. Federal da Modalidade (Até 4/modalidade)</t>
  </si>
  <si>
    <t>Contrato IDEIAS: Composição CD (1 Presid Confea + 1 Vice Presidente + 5 Diretores ): Reuniões Ordinárias (11) e Extraordinárias (11)</t>
  </si>
  <si>
    <t>Contrato IDEIAS: CDEN: Presid. Confea (1); Conselheiro CAIS (1)</t>
  </si>
  <si>
    <t>Contrato IDEIAS: Comissão CEF (5 Cons Fed): 20 Reuniões Ordinárias + 20 Extraordinárias Virtuais</t>
  </si>
  <si>
    <t>Contrato IDEIAS: CP: Presid. Confea (1); Presid. Creas (27); Cons. Federais (11 = 5 Com.Permanentes + 6 Diretores)</t>
  </si>
  <si>
    <t>Contrato IDEIAS: Encontro de Líderes Representantes - OBS: CP, CDEN, CCEC estão nos seus Centros de Custos</t>
  </si>
  <si>
    <t>Contrato IDEIAS: Atividades da Presidência, Representações do Presidente, Visitas autorizadas pelo Presidente</t>
  </si>
  <si>
    <t>Contrato IDEIAS: Encontros Técnicos Operacionais (17)</t>
  </si>
  <si>
    <t>Contrato IDEIAS: Comitê Gestor de Governança CGEST: Presid. Confea (1) + Diretor (1) + 4 Empregados (GABI+SIS+SEG+SAF)</t>
  </si>
  <si>
    <t>Contrato IDEIAS: Comitê Gestor Programa Mulher: Presid. Confea (1) + Cons. Federal (1) + Presid. Crea (1) + CCEC (1)</t>
  </si>
  <si>
    <t>Contrato IDEIAS: Programa Crea-Júnior: 1 Encontro Nacional (1 Cons. Federal)</t>
  </si>
  <si>
    <t>Contrato IDEIAS: Programa Mulher: 2 Encontros Nacionais em Brasília (1 Presid. Confea + 1 Presid. Crea + 1 Cons. Federal + 27 Cons. Regionais)</t>
  </si>
  <si>
    <t>Contrato IDEIAS: Programa Mulher: 5 Encontros Regionais (1 cada Região) (1 Cons. Federal + 1 Presid. Crea + 27 Cons. Regionais)</t>
  </si>
  <si>
    <t>Contrato IDEIAS: Comissão CME (5 Cons Fed): 12 reuniões</t>
  </si>
  <si>
    <t>Contrato IDEIAS: 1 Presid. Confea (3 reuniões fora de Brasília) + 3 Cons. Fed (10 reuniões) + 3 Presid. Creas (10 reuniões)</t>
  </si>
  <si>
    <t>Contrato IDEIAS: APERF. TÉCNICO - 5 Missões Internacionais - USD 5,50 - (6 pessoas): 1 Presid Confea, 1 Cons Fed, 1 CP, 1 CDEN, 1 CCEC, 1 Empreg Confea</t>
  </si>
  <si>
    <t>Contrato IDEIAS: WCCE - USD 5,50 - (6 pessoas): 1 Presid Confea, 1 Cons Fed, 1 CP, 1 CDEN, 1 CCEC, 1 Empreg Confea</t>
  </si>
  <si>
    <t>Contrato IDEIAS: COPIMERA - USD 5,50 - (6 pessoas): 1 Presid Confea, 1 Cons Fed, 1 CP, 1 CDEN, 1 CCEC, 1 Empreg Confea</t>
  </si>
  <si>
    <t>Contrato IDEIAS: FMOI 2 Reuniões - USD 5,50 - (6 pessoas): 1 Presid Confea, 1 Cons Fed, 1 CP, 1 CDEN, 1 CCEC, 1 Empreg Confea</t>
  </si>
  <si>
    <t>Contrato IDEIAS: OEA/OECV/OEP/SIB/OEM/CIAM/CECPC - 7 Acordos de Mobilidade Profissional - (6 pessoas): 1 Presid Confea, 1 Cons Fed, 1 CP, 1 CDEN, 1 CCEC, 1 Empreg Confea</t>
  </si>
  <si>
    <t>Contrato IDEIAS: Participação de representantes do Sistema na implementação de acordos de cooperação técnica (ACT) com organizações nacionais</t>
  </si>
  <si>
    <t>Contrato IDEIAS: Participação de representantes do Sistema em eventos técnico-profissionais em âmbito nacional</t>
  </si>
  <si>
    <t>Contrato IDEIAS: 78ª SOEA - Gramado/RS - Período: 09 a 11/08/2023</t>
  </si>
  <si>
    <t xml:space="preserve">Contrato IDEIAS: GCF/Fortalece: Assessoramento à capacidade institucional do Sistema </t>
  </si>
  <si>
    <t>Contrato IDEIAS: Comissão CAIS:  1 Reunião fora de Brasília</t>
  </si>
  <si>
    <t>Contrato IDEIAS: Comissão CCSS (3 Cons Fed): 1 Reunião fora de Brasília</t>
  </si>
  <si>
    <t>Contrato IDEIAS: Comissão CEAP (3 Cons Fed): 1 Reunião fora de Brasília</t>
  </si>
  <si>
    <t>Contrato IDEIAS: Comissão CEEP: 1 Reunião fora de Brasília</t>
  </si>
  <si>
    <t>Contrato IDEIAS: Comissão CONP: 1 Reunião fora de Brasília</t>
  </si>
  <si>
    <t>Contrato IDEIAS: Atividades do SIS</t>
  </si>
  <si>
    <t>Contrato IDEIAS: Composição CCM: 2 Empreg. CREA (6 reuniões em Brasília)</t>
  </si>
  <si>
    <t>Contrato IDEIAS: Assessoramento em relações públicas:  GCO (5 reuniões CP e 12 eventos) e Mestre de Cerimônia (13 eventos)</t>
  </si>
  <si>
    <t>Contrato IDEIAS: Gestão da infraestrutura de eventos aos fóruns consultivos</t>
  </si>
  <si>
    <t>Contrato IDEIAS: Gestão do patrocínio e promoção: Patrocínio (77 eventos) + Estandes (10 eventos)</t>
  </si>
  <si>
    <t>Contrato IDEIAS: Atividades do SAF</t>
  </si>
  <si>
    <t>Contrato IDEIAS: Participação em treinamento externo / assessoramento ao Sistema e demandas diversas</t>
  </si>
  <si>
    <t>Contrato IDEIAS: PPA 2023/2024 - LGPD Viagens para implantação da LGPD no âmbito do Sistema Confea/Crea</t>
  </si>
  <si>
    <t>Contrato IDEIAS: PPA 2023/2024 - PIC-12 Gestão Orçamentária do Sistema Confea/Crea - Planilha/Aba: PIC-12 - Total: R$ 95.000,00</t>
  </si>
  <si>
    <t>Contrato IDEIAS: PPA 2023/2024 - PIC-16 SEI Multiórgãos - Planilha/Aba: PIC-16 - Total: R$ 150.000,00</t>
  </si>
  <si>
    <t>Contrato IDEIAS: Assessoramento em tecnologia da informação (CP, Reuniões Técnicas e outras demandas)</t>
  </si>
  <si>
    <t>Contrato IDEIAS: Assessoramento de auditores do Confea ao Sistema e Assessoramento de empregados dos Creas à instrução de processos de prestação de contas anuais no Confea</t>
  </si>
  <si>
    <t>Contrato IDEIAS: Assessoramento jurídico em demandas judiciais</t>
  </si>
  <si>
    <t>Contrato IDEIAS: Atividades de Controle Interno e Gestão de Risco</t>
  </si>
  <si>
    <t>Contrato IDEIAS: Reuniões e Treinamentos</t>
  </si>
  <si>
    <t>Contrato IDEIAS: Reuniões no CP</t>
  </si>
  <si>
    <t>Contrato IDEIAS: PPA 2023/2024 - PIC-02 Sistema de Controle Interno e Gestão de Riscos - Planilha/Aba: PIC-02 CONTAS - Total: R$ 50.000,00</t>
  </si>
  <si>
    <t>Contrato IDEIAS: PPA 2023/2024 - PIC-02 Sistema de Controle Interno e Gestão de Riscos - Planilha/Aba: PIC-02 PAINT - Total: R$ 285.000,00 (PAINT e Treinamento)</t>
  </si>
  <si>
    <t>Contrato IDEIAS: Workshop Novos Conselheiros: Em Brasília</t>
  </si>
  <si>
    <t>Contrato IDEIAS: CCEC: Empregados Confea (10 x 1 RO fora de Brasília) + Empregados Creas (10 x 4 RO)</t>
  </si>
  <si>
    <t>Contrato IDEIAS: CDEN: Empregados Confea (2 x 1 RO fora de Brasília)</t>
  </si>
  <si>
    <t>Contrato IDEIAS: Comissão CEF (2 Empreg): 5 Reuniões fora de Brasília</t>
  </si>
  <si>
    <t>Contrato IDEIAS: CP - As despesas estão previstas nos Centros de Custos de lotação dos empregados</t>
  </si>
  <si>
    <t>Contrato IDEIAS: Atividades da Assessoria Parlamentar (APAR)</t>
  </si>
  <si>
    <t>Contrato IDEIAS: Atividades de Assessoramento à Presidência (GABI)</t>
  </si>
  <si>
    <t>Contrato IDEIAS: Encontro de Líderes Representantes - OBS: 10 Apoio Técnico estão na CCEC</t>
  </si>
  <si>
    <t>Contrato IDEIAS: Assessoramento ao aperfeiçoamento da capacidade institucional do Sistema</t>
  </si>
  <si>
    <t>Contrato IDEIAS: Assessoramento em estratégia e gestão</t>
  </si>
  <si>
    <t>Contrato IDEIAS: Atividades do SEG</t>
  </si>
  <si>
    <t>Contrato IDEIAS: Atividades da GPG</t>
  </si>
  <si>
    <t>Contrato IDEIAS: PPA 2023/2024 - PIC-01 Modelo de Atuação do Sistema Confea/Crea - Planilha/Aba: PIC-01 ESTR - Total: R$ 2.460.000,00</t>
  </si>
  <si>
    <t>Contrato IDEIAS: PPA 2023/2024 - PIC-01 Modelo de Atuação do Sistema Confea/Crea - Planilha/Aba: PIC-01 GOV - Total: R$ 50.000,00</t>
  </si>
  <si>
    <t>Contrato IDEIAS: PPA 2023/2024 - PIC-01 Modelo de Atuação do Sistema Confea/Crea - Planilha/Aba: PIC-01 PPA - Total: R$ 480.000,00</t>
  </si>
  <si>
    <t>Contrato IDEIAS: PPA 2023/2024 - PIC-05 Programa de Fomento - Planilha/Aba: PIC-05 - Total: R$ 50.000,00</t>
  </si>
  <si>
    <t>Contrato IDEIAS: Comitê Gestor Programa Mulher: 4 Reuniões em Brasília</t>
  </si>
  <si>
    <t>Contrato IDEIAS: Programa Crea-Júnior: 1 Encontro Nacional (1 Empregado por Crea)</t>
  </si>
  <si>
    <t>Contrato IDEIAS: Programa Mulher: 2 Encontros Nacionais em Brasília</t>
  </si>
  <si>
    <t>Contrato IDEIAS: Programa Mulher: 5 Encontros Regionais (1 cada Região) (2 Empregados)</t>
  </si>
  <si>
    <t>Contrato IDEIAS: Somente em 2025: Acompanhamento CEPs Regionais em 3 estados de cada região geográfica</t>
  </si>
  <si>
    <t>Contrato IDEIAS: Comissão CME: 2 Reuniões fora de Brasília</t>
  </si>
  <si>
    <t>Contrato IDEIAS: 2 Empreg. CREA (10 reuniões) + 3 Empreg. CONFEA (3 reuniões fora de Brasília) + 7 Empreg. CONFEA (3 visitas técnicas)</t>
  </si>
  <si>
    <t>Contrato IDEIAS: PPA 2023/2024 - PIC-06 Agenda 2030 - Planilha/Aba: PIC-06 - Total: R$ 170.000,00</t>
  </si>
  <si>
    <t>Contrato IDEIAS: PPA 2023/2024 - PIC-08 Propostas para o Brasil - Planilha/Aba: PIC-08 - Total: R$ 450.000,00</t>
  </si>
  <si>
    <t>Contrato IDEIAS: Assessoramento em relacionamento institucional</t>
  </si>
  <si>
    <t>Contrato IDEIAS: Assessoramento em relacionamento institucional intrassistema (CP Regionais e demandas)</t>
  </si>
  <si>
    <t>Contrato IDEIAS: Fiscalização de convênios do Prodesu pelas Gerências Regionais (GER-Prodesu)</t>
  </si>
  <si>
    <t>Contrato IDEIAS: 5 Especialistas (CEAP e-MEC) convidados pela CEAP para 4 reuniões</t>
  </si>
  <si>
    <t>Contrato IDEIAS: Plenário: 10 Sessões Plenárias Ordinárias (1 Coordenador de cada CCEC) + 12 Novos Conselheiros (Posse)</t>
  </si>
  <si>
    <t>Contrato IDEIAS: Composição CCM: 1 Coord. CCEC (6 reuniões)</t>
  </si>
  <si>
    <t>Contrato IDEIAS: 3 colaboradores da TV Confea no CP Colégio de Presidentes (5 reuniões fora de Brasília)</t>
  </si>
  <si>
    <t>Contrato IDEIAS: Workshop Novos Conselheiros: 2 Palestrantes (1,5 diárias)</t>
  </si>
  <si>
    <t>Contrato IDEIAS: CCEC: Não há previsão de Colaboradores</t>
  </si>
  <si>
    <t>Contrato IDEIAS: CDEN: 26 membros</t>
  </si>
  <si>
    <t>Contrato IDEIAS: CP: Palestrante (1) - As despesas da TV Confea estão previstas no Centro de Custo COEV</t>
  </si>
  <si>
    <t>Contrato IDEIAS: Comitê Gestor de Governança CGEST: Não há participante</t>
  </si>
  <si>
    <t>Contrato IDEIAS: Comitê Gestor Programa Mulher: CDEN (1)</t>
  </si>
  <si>
    <t>Contrato IDEIAS: Programa Crea-Júnior: Não há previsão de Colaborador</t>
  </si>
  <si>
    <t>Contrato IDEIAS: Programa Mulher: 2 Encontros Nacionais em Brasília (1 CDEN)</t>
  </si>
  <si>
    <t>Contrato IDEIAS: Programa Mulher: 5 Encontros Regionais (1 cada Região) (1 CDEN)</t>
  </si>
  <si>
    <t>Contrato IDEIAS: 1 Coord. CCEC (10 reuniões)</t>
  </si>
  <si>
    <t>Contrato IDEIAS: PPA 2023/2024 - PII-03 Certificação Profissional - CCA-Brasil Conteudistas para elaboração do programa de certificação profissional</t>
  </si>
  <si>
    <t>Contrato IDEIAS: Participação de representantes do Sistema em organizações nacionais</t>
  </si>
  <si>
    <t>Contrato IDEIAS: PPA 2023/2024 - Julgamento - Coordenação de processos finalísticos (Profissional, Empresa, Escolas e Cursos)</t>
  </si>
  <si>
    <t>Contrato IDEIAS: PPA 2023/2024 - Registro - Coordenação de processos finalísticos (Profissional, Empresa, Escolas e Cursos)</t>
  </si>
  <si>
    <t>Contrato IDEIAS: PPA 2023/2024 - PIC-03 Gestão Estratégica da Fiscalização do Sistema Confea/Crea - Planilha/Aba: PIC-03 - Total: R$ 215.000,00</t>
  </si>
  <si>
    <t>Contrato IDEIAS: PPA 2023/2024 - PIC-04 Planejamento Integrado da Fiscalização do Sistema Confea/Crea - Planilha/Aba: PIC-04 - Total: R$ 265.000,00</t>
  </si>
  <si>
    <t>Contrato ATLÂNTICO: Manutenção do Sistema de Climatização (Despesas Correntes) - OBS: Foi acrescido 10% para repactuação</t>
  </si>
  <si>
    <t>Contrato ATLÂNTICO: Substituição de equipamentos do Sistema de Climatização, se necessário (Despesas de Capital)</t>
  </si>
  <si>
    <t>Contrato ECOVOLT: Manutenção e operação do sistema de som e vídeo da sede do Confea (Despesas Correntes) - OBS: Foi acrescido 10% para repactuação</t>
  </si>
  <si>
    <t>Contrato ECOVOLT: Substituição de equipamentos de Manutenção e operação do sistema de som e vídeo da sede do Confea, se necessário (Despesas de Capital)</t>
  </si>
  <si>
    <t>Contrato H2F: Substituição de equipamentos no âmbito da Manutenção Predial, se necessário (Despaesas de Capital)</t>
  </si>
  <si>
    <t>Contrato H2F: Gestão e Manutenção Predial preventiva e corretiva (Despesas Correntes)</t>
  </si>
  <si>
    <t>A contratar: Serviços Gráficos para confecção de lâminas e cordões personalizados para crachás (substituição de todos os crachás de identificação e acesso)</t>
  </si>
  <si>
    <t>Exercício de 2023</t>
  </si>
  <si>
    <t>Dotação Atual
2022</t>
  </si>
  <si>
    <t>TOTAL DAS ORIGENS DE RECURSOS</t>
  </si>
  <si>
    <t>Arrecadado 
até 30/06/2022</t>
  </si>
  <si>
    <t>%
Arrecadado
x
Orçado</t>
  </si>
  <si>
    <t>Proposta Orçamentária
2023</t>
  </si>
  <si>
    <t>Orçado
2022</t>
  </si>
  <si>
    <t>Arrecadado
2021</t>
  </si>
  <si>
    <t>5.2.1.1.1.08.04</t>
  </si>
  <si>
    <t>RECEITAS NÃO IDENTIFICADAS</t>
  </si>
  <si>
    <t>Arrecadado
até 30/06/2022</t>
  </si>
  <si>
    <t>Proposta Orçamentária 2023</t>
  </si>
  <si>
    <t>% sobre
Orçado 2022</t>
  </si>
  <si>
    <t>-</t>
  </si>
  <si>
    <t xml:space="preserve">   Auxílios Creche e Escola</t>
  </si>
  <si>
    <t>5.2.2.1.1.04.03.04.011</t>
  </si>
  <si>
    <t>5.2.2.1.1.08.01.10</t>
  </si>
  <si>
    <t xml:space="preserve">   Fortalece (Resolução nº 1135/2022)</t>
  </si>
  <si>
    <t>5.2.2.1.1.04.03.03.002</t>
  </si>
  <si>
    <t>OUTROS MATERIAIS DE CONSUMO</t>
  </si>
  <si>
    <t xml:space="preserve">   Materiais de Proteção e Segurança</t>
  </si>
  <si>
    <t>Executado
Desp. Liquidada
 até 30/06/2022</t>
  </si>
  <si>
    <t>GOVERNANÇA
Relacionamento Institucional</t>
  </si>
  <si>
    <t>GESTÃO
Tecnologia da Informação</t>
  </si>
  <si>
    <t xml:space="preserve">GESTÃO
Infraestrutura
</t>
  </si>
  <si>
    <t xml:space="preserve">   Aquisição de Software de Base</t>
  </si>
  <si>
    <t>Executado
Desp. Empenhada
2021</t>
  </si>
  <si>
    <t xml:space="preserve">      Outros Materiais de Consumo</t>
  </si>
  <si>
    <t xml:space="preserve">   INTANGÍVEL</t>
  </si>
  <si>
    <t xml:space="preserve">PREVISÃO INICIAL - RECEITAS CORRENTES </t>
  </si>
  <si>
    <t>PREVISÃO INICIAL - RECEITAS DE CAPITAL</t>
  </si>
  <si>
    <t>PREVISÃO INICIAL - RECEITAS CORRENTES</t>
  </si>
  <si>
    <t>% sobre 
Orçado 2022</t>
  </si>
  <si>
    <t>Proposta Orçamentária
Receitas Estimadas
 2023</t>
  </si>
  <si>
    <t>Proposta Orçamentária
Despesas Fixadas 
2023</t>
  </si>
  <si>
    <t>%
Executado x Orçado</t>
  </si>
  <si>
    <t>Brasília-DF, Dezembro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</si>
</sst>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0"/>
    <numFmt numFmtId="165" formatCode="_(* #,##0.00_);_(* \(#,##0.00\);_(* \-??_);_(@_)"/>
    <numFmt numFmtId="166" formatCode="#,###.00"/>
    <numFmt numFmtId="167" formatCode="0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99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.5"/>
      <name val="Arial"/>
      <family val="2"/>
      <charset val="1"/>
    </font>
    <font>
      <sz val="8"/>
      <name val="Calibri"/>
      <family val="2"/>
      <scheme val="minor"/>
    </font>
    <font>
      <sz val="8.5"/>
      <name val="Arial"/>
      <family val="2"/>
    </font>
    <font>
      <sz val="1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FFFF00"/>
      <name val="Arial"/>
      <family val="2"/>
    </font>
    <font>
      <b/>
      <sz val="9"/>
      <color theme="4" tint="0.79998168889431442"/>
      <name val="Arial"/>
      <family val="2"/>
    </font>
    <font>
      <b/>
      <sz val="9"/>
      <color rgb="FFFFFF99"/>
      <name val="Arial"/>
      <family val="2"/>
    </font>
    <font>
      <sz val="11"/>
      <color rgb="FF44444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99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color rgb="FF000099"/>
      <name val="Arial"/>
      <family val="2"/>
    </font>
    <font>
      <b/>
      <i/>
      <sz val="9"/>
      <color rgb="FF000099"/>
      <name val="Arial"/>
      <family val="2"/>
    </font>
    <font>
      <b/>
      <sz val="10"/>
      <color rgb="FF000099"/>
      <name val="Arial"/>
      <family val="2"/>
      <charset val="1"/>
    </font>
    <font>
      <sz val="10"/>
      <color rgb="FF000099"/>
      <name val="Arial"/>
      <family val="2"/>
      <charset val="1"/>
    </font>
    <font>
      <sz val="8.5"/>
      <color rgb="FF000099"/>
      <name val="Arial"/>
      <family val="2"/>
    </font>
    <font>
      <b/>
      <u/>
      <sz val="10"/>
      <color rgb="FF0000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ashed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8"/>
      </right>
      <top style="thin">
        <color theme="4" tint="0.39997558519241921"/>
      </top>
      <bottom style="thin">
        <color theme="4" tint="0.39997558519241921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ashed">
        <color indexed="8"/>
      </left>
      <right style="medium">
        <color indexed="8"/>
      </right>
      <top/>
      <bottom style="thin">
        <color indexed="8"/>
      </bottom>
      <diagonal/>
    </border>
    <border>
      <left style="dashed">
        <color indexed="8"/>
      </left>
      <right/>
      <top/>
      <bottom style="thin">
        <color indexed="8"/>
      </bottom>
      <diagonal/>
    </border>
    <border>
      <left style="dashed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dashed">
        <color indexed="8"/>
      </left>
      <right style="medium">
        <color indexed="8"/>
      </right>
      <top style="medium">
        <color indexed="64"/>
      </top>
      <bottom/>
      <diagonal/>
    </border>
    <border>
      <left style="dashed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43" fontId="7" fillId="0" borderId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1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164" fontId="2" fillId="0" borderId="0" xfId="1" applyNumberFormat="1" applyAlignment="1">
      <alignment vertical="center"/>
    </xf>
    <xf numFmtId="0" fontId="2" fillId="0" borderId="0" xfId="1" applyAlignment="1">
      <alignment horizontal="left" vertical="center"/>
    </xf>
    <xf numFmtId="0" fontId="3" fillId="0" borderId="0" xfId="1" applyFont="1" applyAlignment="1">
      <alignment vertical="center"/>
    </xf>
    <xf numFmtId="43" fontId="2" fillId="0" borderId="0" xfId="1" applyNumberFormat="1" applyAlignment="1">
      <alignment vertical="center"/>
    </xf>
    <xf numFmtId="4" fontId="3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" fontId="2" fillId="0" borderId="0" xfId="1" applyNumberFormat="1" applyAlignment="1">
      <alignment vertical="center"/>
    </xf>
    <xf numFmtId="4" fontId="5" fillId="0" borderId="3" xfId="1" applyNumberFormat="1" applyFont="1" applyBorder="1" applyAlignment="1">
      <alignment vertical="center"/>
    </xf>
    <xf numFmtId="4" fontId="4" fillId="0" borderId="3" xfId="1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4" fontId="1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4" fontId="2" fillId="0" borderId="3" xfId="1" applyNumberForma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39" fontId="3" fillId="0" borderId="3" xfId="1" applyNumberFormat="1" applyFont="1" applyBorder="1" applyAlignment="1">
      <alignment vertical="center"/>
    </xf>
    <xf numFmtId="39" fontId="2" fillId="0" borderId="3" xfId="1" applyNumberFormat="1" applyBorder="1" applyAlignment="1">
      <alignment vertical="center"/>
    </xf>
    <xf numFmtId="39" fontId="2" fillId="0" borderId="4" xfId="1" applyNumberFormat="1" applyBorder="1" applyAlignment="1">
      <alignment vertical="center"/>
    </xf>
    <xf numFmtId="0" fontId="8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3" fillId="0" borderId="12" xfId="1" applyFont="1" applyBorder="1" applyAlignment="1">
      <alignment vertical="center"/>
    </xf>
    <xf numFmtId="0" fontId="1" fillId="0" borderId="12" xfId="0" applyFont="1" applyBorder="1"/>
    <xf numFmtId="0" fontId="25" fillId="0" borderId="12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0" fillId="0" borderId="12" xfId="0" applyBorder="1"/>
    <xf numFmtId="0" fontId="25" fillId="0" borderId="12" xfId="1" applyFont="1" applyBorder="1" applyAlignment="1">
      <alignment horizontal="left" vertical="center"/>
    </xf>
    <xf numFmtId="4" fontId="23" fillId="0" borderId="12" xfId="1" applyNumberFormat="1" applyFont="1" applyBorder="1" applyAlignment="1">
      <alignment vertical="center"/>
    </xf>
    <xf numFmtId="4" fontId="25" fillId="0" borderId="0" xfId="1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164" fontId="2" fillId="0" borderId="0" xfId="1" applyNumberForma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39" fontId="17" fillId="0" borderId="11" xfId="3" applyNumberFormat="1" applyFont="1" applyFill="1" applyBorder="1" applyAlignment="1">
      <alignment horizontal="right" vertical="center"/>
    </xf>
    <xf numFmtId="39" fontId="16" fillId="0" borderId="11" xfId="1" applyNumberFormat="1" applyFont="1" applyBorder="1" applyAlignment="1">
      <alignment vertical="center"/>
    </xf>
    <xf numFmtId="39" fontId="17" fillId="0" borderId="11" xfId="1" applyNumberFormat="1" applyFont="1" applyBorder="1" applyAlignment="1">
      <alignment vertical="center"/>
    </xf>
    <xf numFmtId="39" fontId="17" fillId="0" borderId="22" xfId="1" applyNumberFormat="1" applyFont="1" applyBorder="1" applyAlignment="1">
      <alignment vertical="center"/>
    </xf>
    <xf numFmtId="39" fontId="17" fillId="0" borderId="22" xfId="1" applyNumberFormat="1" applyFont="1" applyBorder="1" applyAlignment="1">
      <alignment horizontal="right" vertical="center"/>
    </xf>
    <xf numFmtId="39" fontId="16" fillId="0" borderId="22" xfId="1" applyNumberFormat="1" applyFont="1" applyBorder="1" applyAlignment="1">
      <alignment vertical="center"/>
    </xf>
    <xf numFmtId="165" fontId="17" fillId="0" borderId="0" xfId="1" applyNumberFormat="1" applyFont="1" applyAlignment="1">
      <alignment horizontal="right" vertical="center"/>
    </xf>
    <xf numFmtId="39" fontId="3" fillId="2" borderId="2" xfId="1" applyNumberFormat="1" applyFont="1" applyFill="1" applyBorder="1" applyAlignment="1">
      <alignment vertical="center"/>
    </xf>
    <xf numFmtId="39" fontId="3" fillId="2" borderId="11" xfId="1" applyNumberFormat="1" applyFont="1" applyFill="1" applyBorder="1" applyAlignment="1">
      <alignment vertical="center"/>
    </xf>
    <xf numFmtId="39" fontId="17" fillId="2" borderId="11" xfId="1" applyNumberFormat="1" applyFont="1" applyFill="1" applyBorder="1" applyAlignment="1">
      <alignment vertical="center"/>
    </xf>
    <xf numFmtId="39" fontId="3" fillId="0" borderId="2" xfId="1" applyNumberFormat="1" applyFont="1" applyBorder="1" applyAlignment="1">
      <alignment vertical="center"/>
    </xf>
    <xf numFmtId="39" fontId="3" fillId="0" borderId="11" xfId="1" applyNumberFormat="1" applyFont="1" applyBorder="1" applyAlignment="1">
      <alignment vertical="center"/>
    </xf>
    <xf numFmtId="39" fontId="3" fillId="0" borderId="11" xfId="1" applyNumberFormat="1" applyFont="1" applyBorder="1" applyAlignment="1">
      <alignment horizontal="right" vertical="center"/>
    </xf>
    <xf numFmtId="39" fontId="3" fillId="0" borderId="2" xfId="1" applyNumberFormat="1" applyFont="1" applyBorder="1" applyAlignment="1">
      <alignment horizontal="right" vertical="center"/>
    </xf>
    <xf numFmtId="39" fontId="17" fillId="0" borderId="11" xfId="1" applyNumberFormat="1" applyFont="1" applyBorder="1" applyAlignment="1">
      <alignment horizontal="right" vertical="center"/>
    </xf>
    <xf numFmtId="39" fontId="2" fillId="0" borderId="2" xfId="1" applyNumberFormat="1" applyBorder="1" applyAlignment="1">
      <alignment vertical="center"/>
    </xf>
    <xf numFmtId="39" fontId="2" fillId="0" borderId="11" xfId="1" applyNumberFormat="1" applyBorder="1" applyAlignment="1">
      <alignment vertical="center"/>
    </xf>
    <xf numFmtId="0" fontId="20" fillId="0" borderId="1" xfId="1" applyFont="1" applyBorder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vertical="center"/>
    </xf>
    <xf numFmtId="4" fontId="4" fillId="0" borderId="4" xfId="1" applyNumberFormat="1" applyFont="1" applyBorder="1" applyAlignment="1">
      <alignment vertical="center"/>
    </xf>
    <xf numFmtId="4" fontId="5" fillId="0" borderId="11" xfId="1" applyNumberFormat="1" applyFont="1" applyBorder="1" applyAlignment="1">
      <alignment vertical="center"/>
    </xf>
    <xf numFmtId="4" fontId="4" fillId="0" borderId="11" xfId="1" applyNumberFormat="1" applyFont="1" applyBorder="1" applyAlignment="1">
      <alignment vertical="center"/>
    </xf>
    <xf numFmtId="4" fontId="4" fillId="0" borderId="22" xfId="1" applyNumberFormat="1" applyFont="1" applyBorder="1" applyAlignment="1">
      <alignment vertical="center"/>
    </xf>
    <xf numFmtId="0" fontId="2" fillId="0" borderId="8" xfId="1" applyBorder="1" applyAlignment="1">
      <alignment vertical="center"/>
    </xf>
    <xf numFmtId="39" fontId="3" fillId="2" borderId="26" xfId="1" applyNumberFormat="1" applyFont="1" applyFill="1" applyBorder="1" applyAlignment="1">
      <alignment vertical="center"/>
    </xf>
    <xf numFmtId="39" fontId="3" fillId="0" borderId="26" xfId="1" applyNumberFormat="1" applyFont="1" applyBorder="1" applyAlignment="1">
      <alignment vertical="center"/>
    </xf>
    <xf numFmtId="39" fontId="3" fillId="0" borderId="22" xfId="1" applyNumberFormat="1" applyFont="1" applyBorder="1" applyAlignment="1">
      <alignment horizontal="right" vertical="center"/>
    </xf>
    <xf numFmtId="39" fontId="3" fillId="0" borderId="26" xfId="1" applyNumberFormat="1" applyFont="1" applyBorder="1" applyAlignment="1">
      <alignment horizontal="right" vertical="center"/>
    </xf>
    <xf numFmtId="39" fontId="2" fillId="0" borderId="26" xfId="1" applyNumberFormat="1" applyBorder="1" applyAlignment="1">
      <alignment vertical="center"/>
    </xf>
    <xf numFmtId="0" fontId="3" fillId="0" borderId="11" xfId="1" applyFont="1" applyBorder="1" applyAlignment="1">
      <alignment horizontal="left" vertical="center"/>
    </xf>
    <xf numFmtId="0" fontId="2" fillId="0" borderId="11" xfId="1" applyBorder="1" applyAlignment="1">
      <alignment horizontal="left" vertical="center"/>
    </xf>
    <xf numFmtId="39" fontId="3" fillId="0" borderId="31" xfId="1" applyNumberFormat="1" applyFont="1" applyBorder="1" applyAlignment="1">
      <alignment vertical="center"/>
    </xf>
    <xf numFmtId="39" fontId="17" fillId="0" borderId="24" xfId="1" applyNumberFormat="1" applyFont="1" applyBorder="1" applyAlignment="1">
      <alignment vertical="center"/>
    </xf>
    <xf numFmtId="0" fontId="3" fillId="0" borderId="10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5" fillId="0" borderId="10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39" fontId="2" fillId="0" borderId="22" xfId="1" applyNumberFormat="1" applyBorder="1" applyAlignment="1">
      <alignment vertical="center"/>
    </xf>
    <xf numFmtId="39" fontId="3" fillId="0" borderId="30" xfId="1" applyNumberFormat="1" applyFont="1" applyBorder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left" vertical="center"/>
    </xf>
    <xf numFmtId="0" fontId="30" fillId="0" borderId="6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4" fontId="3" fillId="0" borderId="11" xfId="1" applyNumberFormat="1" applyFont="1" applyBorder="1" applyAlignment="1">
      <alignment vertical="center"/>
    </xf>
    <xf numFmtId="4" fontId="2" fillId="0" borderId="11" xfId="1" applyNumberFormat="1" applyBorder="1" applyAlignment="1">
      <alignment vertical="center"/>
    </xf>
    <xf numFmtId="4" fontId="2" fillId="0" borderId="26" xfId="1" applyNumberFormat="1" applyBorder="1" applyAlignment="1">
      <alignment vertical="center"/>
    </xf>
    <xf numFmtId="4" fontId="3" fillId="0" borderId="26" xfId="1" applyNumberFormat="1" applyFont="1" applyBorder="1" applyAlignment="1">
      <alignment vertical="center"/>
    </xf>
    <xf numFmtId="1" fontId="33" fillId="0" borderId="7" xfId="1" applyNumberFormat="1" applyFont="1" applyBorder="1" applyAlignment="1">
      <alignment horizontal="center" vertical="center" wrapText="1"/>
    </xf>
    <xf numFmtId="1" fontId="33" fillId="0" borderId="5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vertical="center"/>
    </xf>
    <xf numFmtId="0" fontId="3" fillId="0" borderId="37" xfId="1" applyFont="1" applyBorder="1" applyAlignment="1">
      <alignment horizontal="left" vertical="center"/>
    </xf>
    <xf numFmtId="4" fontId="3" fillId="0" borderId="20" xfId="1" applyNumberFormat="1" applyFont="1" applyBorder="1" applyAlignment="1">
      <alignment vertical="center"/>
    </xf>
    <xf numFmtId="0" fontId="2" fillId="0" borderId="37" xfId="1" applyBorder="1" applyAlignment="1">
      <alignment horizontal="left" vertical="center"/>
    </xf>
    <xf numFmtId="4" fontId="2" fillId="0" borderId="0" xfId="1" applyNumberFormat="1" applyAlignment="1">
      <alignment horizontal="center" vertical="center"/>
    </xf>
    <xf numFmtId="0" fontId="9" fillId="0" borderId="0" xfId="1" applyFont="1" applyAlignment="1">
      <alignment horizontal="center" vertical="center"/>
    </xf>
    <xf numFmtId="40" fontId="2" fillId="0" borderId="0" xfId="1" applyNumberFormat="1" applyAlignment="1">
      <alignment vertical="center"/>
    </xf>
    <xf numFmtId="166" fontId="2" fillId="0" borderId="0" xfId="1" applyNumberFormat="1" applyAlignment="1">
      <alignment vertical="center"/>
    </xf>
    <xf numFmtId="0" fontId="6" fillId="0" borderId="0" xfId="1" applyFont="1" applyAlignment="1">
      <alignment vertical="center"/>
    </xf>
    <xf numFmtId="0" fontId="30" fillId="0" borderId="33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30" fillId="0" borderId="21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 wrapText="1"/>
    </xf>
    <xf numFmtId="0" fontId="30" fillId="0" borderId="4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" fontId="3" fillId="0" borderId="29" xfId="1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30" fillId="0" borderId="33" xfId="1" applyFont="1" applyBorder="1" applyAlignment="1">
      <alignment horizontal="center" vertical="center" wrapText="1"/>
    </xf>
    <xf numFmtId="0" fontId="30" fillId="0" borderId="36" xfId="1" applyFont="1" applyBorder="1" applyAlignment="1">
      <alignment horizontal="center" vertical="center" wrapText="1"/>
    </xf>
    <xf numFmtId="4" fontId="3" fillId="0" borderId="37" xfId="1" applyNumberFormat="1" applyFont="1" applyBorder="1" applyAlignment="1">
      <alignment vertical="center"/>
    </xf>
    <xf numFmtId="4" fontId="3" fillId="0" borderId="38" xfId="1" applyNumberFormat="1" applyFont="1" applyBorder="1" applyAlignment="1">
      <alignment vertical="center"/>
    </xf>
    <xf numFmtId="4" fontId="2" fillId="0" borderId="37" xfId="1" applyNumberFormat="1" applyBorder="1" applyAlignment="1">
      <alignment vertical="center"/>
    </xf>
    <xf numFmtId="4" fontId="2" fillId="0" borderId="38" xfId="1" applyNumberFormat="1" applyBorder="1" applyAlignment="1">
      <alignment vertical="center"/>
    </xf>
    <xf numFmtId="4" fontId="3" fillId="0" borderId="38" xfId="1" applyNumberFormat="1" applyFont="1" applyBorder="1" applyAlignment="1">
      <alignment horizontal="right" vertical="center"/>
    </xf>
    <xf numFmtId="4" fontId="3" fillId="0" borderId="37" xfId="1" applyNumberFormat="1" applyFont="1" applyBorder="1" applyAlignment="1">
      <alignment horizontal="right" vertical="center"/>
    </xf>
    <xf numFmtId="0" fontId="3" fillId="0" borderId="47" xfId="1" applyFont="1" applyBorder="1" applyAlignment="1">
      <alignment vertical="center"/>
    </xf>
    <xf numFmtId="0" fontId="3" fillId="0" borderId="48" xfId="1" applyFont="1" applyBorder="1" applyAlignment="1">
      <alignment vertical="center"/>
    </xf>
    <xf numFmtId="4" fontId="3" fillId="0" borderId="49" xfId="1" applyNumberFormat="1" applyFont="1" applyBorder="1" applyAlignment="1">
      <alignment vertical="center"/>
    </xf>
    <xf numFmtId="4" fontId="3" fillId="0" borderId="50" xfId="1" applyNumberFormat="1" applyFont="1" applyBorder="1" applyAlignment="1">
      <alignment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0" borderId="32" xfId="1" applyFont="1" applyBorder="1" applyAlignment="1">
      <alignment vertical="center"/>
    </xf>
    <xf numFmtId="4" fontId="3" fillId="0" borderId="2" xfId="1" applyNumberFormat="1" applyFont="1" applyBorder="1" applyAlignment="1">
      <alignment vertical="center"/>
    </xf>
    <xf numFmtId="0" fontId="2" fillId="0" borderId="2" xfId="1" applyBorder="1" applyAlignment="1">
      <alignment vertical="center"/>
    </xf>
    <xf numFmtId="4" fontId="2" fillId="0" borderId="2" xfId="1" applyNumberFormat="1" applyBorder="1" applyAlignment="1">
      <alignment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5" xfId="1" applyFont="1" applyBorder="1" applyAlignment="1">
      <alignment vertical="center"/>
    </xf>
    <xf numFmtId="0" fontId="2" fillId="0" borderId="45" xfId="1" applyBorder="1" applyAlignment="1">
      <alignment vertical="center"/>
    </xf>
    <xf numFmtId="0" fontId="2" fillId="3" borderId="45" xfId="1" applyFill="1" applyBorder="1" applyAlignment="1">
      <alignment vertical="center"/>
    </xf>
    <xf numFmtId="4" fontId="3" fillId="0" borderId="44" xfId="1" applyNumberFormat="1" applyFont="1" applyBorder="1" applyAlignment="1">
      <alignment vertical="center"/>
    </xf>
    <xf numFmtId="4" fontId="14" fillId="0" borderId="51" xfId="1" applyNumberFormat="1" applyFont="1" applyBorder="1" applyAlignment="1">
      <alignment vertical="center"/>
    </xf>
    <xf numFmtId="0" fontId="14" fillId="0" borderId="52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/>
    </xf>
    <xf numFmtId="0" fontId="14" fillId="0" borderId="54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4" fontId="13" fillId="0" borderId="12" xfId="1" applyNumberFormat="1" applyFont="1" applyBorder="1" applyAlignment="1">
      <alignment vertical="center"/>
    </xf>
    <xf numFmtId="4" fontId="13" fillId="0" borderId="56" xfId="1" applyNumberFormat="1" applyFont="1" applyBorder="1" applyAlignment="1">
      <alignment vertical="center"/>
    </xf>
    <xf numFmtId="4" fontId="14" fillId="0" borderId="58" xfId="1" applyNumberFormat="1" applyFont="1" applyBorder="1" applyAlignment="1">
      <alignment vertical="center"/>
    </xf>
    <xf numFmtId="0" fontId="14" fillId="0" borderId="57" xfId="1" applyFont="1" applyBorder="1" applyAlignment="1">
      <alignment horizontal="center" vertical="center"/>
    </xf>
    <xf numFmtId="0" fontId="2" fillId="0" borderId="46" xfId="1" applyBorder="1" applyAlignment="1">
      <alignment horizontal="left" vertical="center"/>
    </xf>
    <xf numFmtId="0" fontId="2" fillId="3" borderId="46" xfId="1" applyFill="1" applyBorder="1" applyAlignment="1">
      <alignment horizontal="left" vertical="center"/>
    </xf>
    <xf numFmtId="0" fontId="3" fillId="0" borderId="46" xfId="1" applyFont="1" applyBorder="1" applyAlignment="1">
      <alignment horizontal="left" vertical="center"/>
    </xf>
    <xf numFmtId="0" fontId="3" fillId="3" borderId="46" xfId="1" applyFont="1" applyFill="1" applyBorder="1" applyAlignment="1">
      <alignment horizontal="left" vertical="center"/>
    </xf>
    <xf numFmtId="4" fontId="0" fillId="0" borderId="0" xfId="9" applyNumberFormat="1" applyFont="1" applyFill="1"/>
    <xf numFmtId="10" fontId="36" fillId="0" borderId="0" xfId="5" applyNumberFormat="1" applyFont="1" applyFill="1"/>
    <xf numFmtId="40" fontId="2" fillId="0" borderId="0" xfId="1" applyNumberFormat="1" applyAlignment="1">
      <alignment horizontal="center" vertical="center"/>
    </xf>
    <xf numFmtId="39" fontId="38" fillId="0" borderId="11" xfId="1" applyNumberFormat="1" applyFont="1" applyBorder="1" applyAlignment="1">
      <alignment vertical="center"/>
    </xf>
    <xf numFmtId="0" fontId="39" fillId="0" borderId="0" xfId="1" applyFont="1" applyAlignment="1">
      <alignment horizontal="center" vertical="center"/>
    </xf>
    <xf numFmtId="4" fontId="40" fillId="0" borderId="0" xfId="1" applyNumberFormat="1" applyFont="1" applyAlignment="1">
      <alignment vertical="center"/>
    </xf>
    <xf numFmtId="0" fontId="40" fillId="0" borderId="0" xfId="1" applyFont="1" applyAlignment="1">
      <alignment vertical="center"/>
    </xf>
    <xf numFmtId="4" fontId="17" fillId="0" borderId="3" xfId="1" applyNumberFormat="1" applyFont="1" applyBorder="1" applyAlignment="1">
      <alignment vertical="center"/>
    </xf>
    <xf numFmtId="4" fontId="43" fillId="0" borderId="3" xfId="1" applyNumberFormat="1" applyFont="1" applyBorder="1" applyAlignment="1">
      <alignment vertical="center"/>
    </xf>
    <xf numFmtId="4" fontId="44" fillId="0" borderId="3" xfId="1" applyNumberFormat="1" applyFont="1" applyBorder="1" applyAlignment="1">
      <alignment vertical="center"/>
    </xf>
    <xf numFmtId="4" fontId="44" fillId="0" borderId="4" xfId="1" applyNumberFormat="1" applyFont="1" applyBorder="1" applyAlignment="1">
      <alignment vertical="center"/>
    </xf>
    <xf numFmtId="4" fontId="16" fillId="0" borderId="3" xfId="1" applyNumberFormat="1" applyFont="1" applyBorder="1" applyAlignment="1">
      <alignment vertical="center"/>
    </xf>
    <xf numFmtId="0" fontId="45" fillId="0" borderId="0" xfId="1" applyFont="1" applyAlignment="1">
      <alignment vertical="center"/>
    </xf>
    <xf numFmtId="164" fontId="16" fillId="0" borderId="0" xfId="1" applyNumberFormat="1" applyFont="1" applyAlignment="1">
      <alignment vertical="center"/>
    </xf>
    <xf numFmtId="4" fontId="16" fillId="0" borderId="0" xfId="1" applyNumberFormat="1" applyFont="1" applyAlignment="1">
      <alignment horizontal="center" vertical="center"/>
    </xf>
    <xf numFmtId="4" fontId="2" fillId="0" borderId="3" xfId="1" quotePrefix="1" applyNumberFormat="1" applyBorder="1" applyAlignment="1">
      <alignment vertical="center"/>
    </xf>
    <xf numFmtId="1" fontId="31" fillId="0" borderId="33" xfId="1" applyNumberFormat="1" applyFont="1" applyBorder="1" applyAlignment="1">
      <alignment horizontal="center" vertical="center" wrapText="1"/>
    </xf>
    <xf numFmtId="1" fontId="31" fillId="0" borderId="59" xfId="1" applyNumberFormat="1" applyFont="1" applyBorder="1" applyAlignment="1">
      <alignment horizontal="center" vertical="center" wrapText="1"/>
    </xf>
    <xf numFmtId="1" fontId="32" fillId="0" borderId="35" xfId="1" applyNumberFormat="1" applyFont="1" applyBorder="1" applyAlignment="1">
      <alignment horizontal="center" vertical="center" wrapText="1"/>
    </xf>
    <xf numFmtId="1" fontId="32" fillId="0" borderId="59" xfId="1" applyNumberFormat="1" applyFont="1" applyBorder="1" applyAlignment="1">
      <alignment horizontal="center" vertical="center" wrapText="1"/>
    </xf>
    <xf numFmtId="1" fontId="33" fillId="0" borderId="59" xfId="1" applyNumberFormat="1" applyFont="1" applyBorder="1" applyAlignment="1">
      <alignment horizontal="center" vertical="center" wrapText="1"/>
    </xf>
    <xf numFmtId="1" fontId="33" fillId="0" borderId="36" xfId="1" applyNumberFormat="1" applyFont="1" applyBorder="1" applyAlignment="1">
      <alignment horizontal="center" vertical="center" wrapText="1"/>
    </xf>
    <xf numFmtId="4" fontId="3" fillId="0" borderId="60" xfId="1" applyNumberFormat="1" applyFont="1" applyBorder="1" applyAlignment="1">
      <alignment vertical="center"/>
    </xf>
    <xf numFmtId="4" fontId="2" fillId="0" borderId="60" xfId="1" applyNumberFormat="1" applyBorder="1" applyAlignment="1">
      <alignment vertical="center"/>
    </xf>
    <xf numFmtId="4" fontId="3" fillId="0" borderId="61" xfId="1" applyNumberFormat="1" applyFont="1" applyBorder="1" applyAlignment="1">
      <alignment vertical="center"/>
    </xf>
    <xf numFmtId="4" fontId="3" fillId="0" borderId="62" xfId="1" applyNumberFormat="1" applyFont="1" applyBorder="1" applyAlignment="1">
      <alignment vertical="center"/>
    </xf>
    <xf numFmtId="2" fontId="30" fillId="0" borderId="6" xfId="1" applyNumberFormat="1" applyFont="1" applyBorder="1" applyAlignment="1">
      <alignment horizontal="center" vertical="center"/>
    </xf>
    <xf numFmtId="2" fontId="30" fillId="0" borderId="5" xfId="1" applyNumberFormat="1" applyFont="1" applyBorder="1" applyAlignment="1">
      <alignment horizontal="center" vertical="center"/>
    </xf>
    <xf numFmtId="1" fontId="30" fillId="0" borderId="64" xfId="1" applyNumberFormat="1" applyFont="1" applyBorder="1" applyAlignment="1">
      <alignment horizontal="center" vertical="center" wrapText="1"/>
    </xf>
    <xf numFmtId="1" fontId="30" fillId="0" borderId="6" xfId="1" applyNumberFormat="1" applyFont="1" applyBorder="1" applyAlignment="1">
      <alignment horizontal="center" vertical="center" wrapText="1"/>
    </xf>
    <xf numFmtId="1" fontId="30" fillId="0" borderId="65" xfId="1" applyNumberFormat="1" applyFont="1" applyBorder="1" applyAlignment="1">
      <alignment horizontal="center" vertical="center" wrapText="1"/>
    </xf>
    <xf numFmtId="1" fontId="41" fillId="0" borderId="64" xfId="1" applyNumberFormat="1" applyFont="1" applyBorder="1" applyAlignment="1">
      <alignment horizontal="center" vertical="center" wrapText="1"/>
    </xf>
    <xf numFmtId="1" fontId="41" fillId="0" borderId="66" xfId="1" applyNumberFormat="1" applyFont="1" applyBorder="1" applyAlignment="1">
      <alignment horizontal="center" vertical="center" wrapText="1"/>
    </xf>
    <xf numFmtId="1" fontId="31" fillId="0" borderId="6" xfId="1" applyNumberFormat="1" applyFont="1" applyBorder="1" applyAlignment="1">
      <alignment horizontal="center" vertical="center" wrapText="1"/>
    </xf>
    <xf numFmtId="1" fontId="31" fillId="0" borderId="7" xfId="1" applyNumberFormat="1" applyFont="1" applyBorder="1" applyAlignment="1">
      <alignment horizontal="center" vertical="center" wrapText="1"/>
    </xf>
    <xf numFmtId="1" fontId="32" fillId="0" borderId="6" xfId="1" applyNumberFormat="1" applyFont="1" applyBorder="1" applyAlignment="1">
      <alignment horizontal="center" vertical="center" wrapText="1"/>
    </xf>
    <xf numFmtId="1" fontId="32" fillId="0" borderId="7" xfId="1" applyNumberFormat="1" applyFont="1" applyBorder="1" applyAlignment="1">
      <alignment horizontal="center" vertical="center" wrapText="1"/>
    </xf>
    <xf numFmtId="4" fontId="3" fillId="0" borderId="68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4" fontId="8" fillId="0" borderId="0" xfId="1" applyNumberFormat="1" applyFont="1" applyAlignment="1">
      <alignment vertical="center"/>
    </xf>
    <xf numFmtId="0" fontId="30" fillId="0" borderId="64" xfId="1" applyFont="1" applyBorder="1" applyAlignment="1">
      <alignment horizontal="center" vertical="center" wrapText="1"/>
    </xf>
    <xf numFmtId="0" fontId="30" fillId="0" borderId="67" xfId="1" applyFont="1" applyBorder="1" applyAlignment="1">
      <alignment horizontal="center" vertical="center" wrapText="1"/>
    </xf>
    <xf numFmtId="0" fontId="30" fillId="0" borderId="7" xfId="1" applyFont="1" applyBorder="1" applyAlignment="1">
      <alignment horizontal="center" vertical="center" wrapText="1"/>
    </xf>
    <xf numFmtId="0" fontId="41" fillId="0" borderId="64" xfId="1" applyFont="1" applyBorder="1" applyAlignment="1">
      <alignment horizontal="center" vertical="center" wrapText="1"/>
    </xf>
    <xf numFmtId="0" fontId="41" fillId="0" borderId="69" xfId="1" applyFont="1" applyBorder="1" applyAlignment="1">
      <alignment horizontal="center" vertical="center" wrapText="1"/>
    </xf>
    <xf numFmtId="0" fontId="42" fillId="0" borderId="70" xfId="1" applyFont="1" applyBorder="1" applyAlignment="1">
      <alignment horizontal="center" vertical="center" wrapText="1"/>
    </xf>
    <xf numFmtId="39" fontId="3" fillId="2" borderId="72" xfId="1" applyNumberFormat="1" applyFont="1" applyFill="1" applyBorder="1" applyAlignment="1">
      <alignment vertical="center"/>
    </xf>
    <xf numFmtId="39" fontId="3" fillId="2" borderId="73" xfId="1" applyNumberFormat="1" applyFont="1" applyFill="1" applyBorder="1" applyAlignment="1">
      <alignment vertical="center"/>
    </xf>
    <xf numFmtId="39" fontId="3" fillId="2" borderId="74" xfId="1" applyNumberFormat="1" applyFont="1" applyFill="1" applyBorder="1" applyAlignment="1">
      <alignment vertical="center"/>
    </xf>
    <xf numFmtId="39" fontId="17" fillId="2" borderId="72" xfId="1" applyNumberFormat="1" applyFont="1" applyFill="1" applyBorder="1" applyAlignment="1">
      <alignment vertical="center"/>
    </xf>
    <xf numFmtId="164" fontId="30" fillId="0" borderId="65" xfId="1" applyNumberFormat="1" applyFont="1" applyBorder="1" applyAlignment="1">
      <alignment horizontal="center" vertical="center" wrapText="1"/>
    </xf>
    <xf numFmtId="164" fontId="41" fillId="0" borderId="9" xfId="1" applyNumberFormat="1" applyFont="1" applyBorder="1" applyAlignment="1">
      <alignment horizontal="center" vertical="center" wrapText="1"/>
    </xf>
    <xf numFmtId="0" fontId="3" fillId="0" borderId="77" xfId="2" applyFont="1" applyBorder="1" applyAlignment="1">
      <alignment horizontal="left" vertical="center" wrapText="1"/>
    </xf>
    <xf numFmtId="0" fontId="6" fillId="0" borderId="77" xfId="2" applyFont="1" applyBorder="1" applyAlignment="1">
      <alignment horizontal="left" vertical="center" wrapText="1"/>
    </xf>
    <xf numFmtId="0" fontId="5" fillId="0" borderId="77" xfId="1" applyFont="1" applyBorder="1" applyAlignment="1">
      <alignment horizontal="left" vertical="center"/>
    </xf>
    <xf numFmtId="0" fontId="4" fillId="0" borderId="77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  <xf numFmtId="0" fontId="5" fillId="0" borderId="63" xfId="1" applyFont="1" applyBorder="1" applyAlignment="1">
      <alignment horizontal="left" vertical="center"/>
    </xf>
    <xf numFmtId="1" fontId="31" fillId="0" borderId="78" xfId="1" applyNumberFormat="1" applyFont="1" applyBorder="1" applyAlignment="1">
      <alignment horizontal="center" vertical="center" wrapText="1"/>
    </xf>
    <xf numFmtId="1" fontId="33" fillId="0" borderId="35" xfId="1" applyNumberFormat="1" applyFont="1" applyBorder="1" applyAlignment="1">
      <alignment horizontal="center" vertical="center" wrapText="1"/>
    </xf>
    <xf numFmtId="1" fontId="32" fillId="0" borderId="78" xfId="1" applyNumberFormat="1" applyFont="1" applyBorder="1" applyAlignment="1">
      <alignment horizontal="center" vertical="center" wrapText="1"/>
    </xf>
    <xf numFmtId="1" fontId="31" fillId="0" borderId="79" xfId="1" applyNumberFormat="1" applyFont="1" applyBorder="1" applyAlignment="1">
      <alignment horizontal="center" vertical="center" wrapText="1"/>
    </xf>
    <xf numFmtId="4" fontId="3" fillId="0" borderId="80" xfId="1" applyNumberFormat="1" applyFont="1" applyBorder="1" applyAlignment="1">
      <alignment vertical="center"/>
    </xf>
    <xf numFmtId="4" fontId="8" fillId="0" borderId="38" xfId="1" applyNumberFormat="1" applyFont="1" applyBorder="1" applyAlignment="1">
      <alignment vertical="center"/>
    </xf>
    <xf numFmtId="1" fontId="33" fillId="0" borderId="6" xfId="1" applyNumberFormat="1" applyFont="1" applyBorder="1" applyAlignment="1">
      <alignment horizontal="center" vertical="center" wrapText="1"/>
    </xf>
    <xf numFmtId="1" fontId="32" fillId="0" borderId="79" xfId="1" applyNumberFormat="1" applyFont="1" applyBorder="1" applyAlignment="1">
      <alignment horizontal="center" vertical="center" wrapText="1"/>
    </xf>
    <xf numFmtId="10" fontId="15" fillId="0" borderId="0" xfId="5" applyNumberFormat="1" applyFont="1" applyAlignment="1">
      <alignment horizontal="center" vertical="center"/>
    </xf>
    <xf numFmtId="10" fontId="17" fillId="0" borderId="0" xfId="5" applyNumberFormat="1" applyFont="1" applyBorder="1" applyAlignment="1">
      <alignment vertical="center"/>
    </xf>
    <xf numFmtId="10" fontId="43" fillId="0" borderId="0" xfId="5" applyNumberFormat="1" applyFont="1" applyBorder="1" applyAlignment="1">
      <alignment vertical="center"/>
    </xf>
    <xf numFmtId="10" fontId="44" fillId="0" borderId="0" xfId="5" applyNumberFormat="1" applyFont="1" applyBorder="1" applyAlignment="1">
      <alignment vertical="center"/>
    </xf>
    <xf numFmtId="10" fontId="16" fillId="0" borderId="0" xfId="5" applyNumberFormat="1" applyFont="1" applyBorder="1" applyAlignment="1">
      <alignment vertical="center"/>
    </xf>
    <xf numFmtId="10" fontId="45" fillId="0" borderId="0" xfId="5" applyNumberFormat="1" applyFont="1" applyAlignment="1">
      <alignment vertical="center"/>
    </xf>
    <xf numFmtId="10" fontId="16" fillId="0" borderId="0" xfId="5" applyNumberFormat="1" applyFont="1" applyAlignment="1">
      <alignment vertical="center"/>
    </xf>
    <xf numFmtId="10" fontId="16" fillId="0" borderId="0" xfId="5" applyNumberFormat="1" applyFont="1" applyAlignment="1">
      <alignment horizontal="center" vertical="center"/>
    </xf>
    <xf numFmtId="10" fontId="41" fillId="0" borderId="81" xfId="5" applyNumberFormat="1" applyFont="1" applyBorder="1" applyAlignment="1">
      <alignment horizontal="center" vertical="center" wrapText="1"/>
    </xf>
    <xf numFmtId="10" fontId="17" fillId="0" borderId="38" xfId="5" applyNumberFormat="1" applyFont="1" applyFill="1" applyBorder="1" applyAlignment="1">
      <alignment horizontal="right" vertical="center"/>
    </xf>
    <xf numFmtId="10" fontId="43" fillId="0" borderId="38" xfId="5" applyNumberFormat="1" applyFont="1" applyFill="1" applyBorder="1" applyAlignment="1">
      <alignment horizontal="right" vertical="center"/>
    </xf>
    <xf numFmtId="10" fontId="44" fillId="0" borderId="38" xfId="5" applyNumberFormat="1" applyFont="1" applyFill="1" applyBorder="1" applyAlignment="1">
      <alignment horizontal="right" vertical="center"/>
    </xf>
    <xf numFmtId="10" fontId="16" fillId="0" borderId="38" xfId="5" applyNumberFormat="1" applyFont="1" applyFill="1" applyBorder="1" applyAlignment="1">
      <alignment horizontal="right" vertical="center"/>
    </xf>
    <xf numFmtId="0" fontId="41" fillId="0" borderId="34" xfId="1" applyFont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4" fontId="17" fillId="0" borderId="37" xfId="1" applyNumberFormat="1" applyFont="1" applyBorder="1" applyAlignment="1">
      <alignment vertical="center"/>
    </xf>
    <xf numFmtId="4" fontId="16" fillId="0" borderId="37" xfId="1" applyNumberFormat="1" applyFont="1" applyBorder="1" applyAlignment="1">
      <alignment vertical="center"/>
    </xf>
    <xf numFmtId="4" fontId="17" fillId="0" borderId="37" xfId="1" applyNumberFormat="1" applyFont="1" applyBorder="1" applyAlignment="1">
      <alignment horizontal="right" vertical="center"/>
    </xf>
    <xf numFmtId="4" fontId="17" fillId="0" borderId="49" xfId="1" applyNumberFormat="1" applyFont="1" applyBorder="1" applyAlignment="1">
      <alignment vertical="center"/>
    </xf>
    <xf numFmtId="10" fontId="17" fillId="0" borderId="0" xfId="5" applyNumberFormat="1" applyFont="1" applyBorder="1" applyAlignment="1">
      <alignment horizontal="right" vertical="center"/>
    </xf>
    <xf numFmtId="10" fontId="17" fillId="0" borderId="48" xfId="5" applyNumberFormat="1" applyFont="1" applyBorder="1" applyAlignment="1">
      <alignment vertical="center"/>
    </xf>
    <xf numFmtId="10" fontId="3" fillId="0" borderId="26" xfId="5" applyNumberFormat="1" applyFont="1" applyFill="1" applyBorder="1" applyAlignment="1">
      <alignment horizontal="right" vertical="center"/>
    </xf>
    <xf numFmtId="10" fontId="5" fillId="0" borderId="26" xfId="5" applyNumberFormat="1" applyFont="1" applyFill="1" applyBorder="1" applyAlignment="1">
      <alignment horizontal="right" vertical="center"/>
    </xf>
    <xf numFmtId="10" fontId="4" fillId="0" borderId="26" xfId="5" applyNumberFormat="1" applyFont="1" applyFill="1" applyBorder="1" applyAlignment="1">
      <alignment horizontal="right" vertical="center"/>
    </xf>
    <xf numFmtId="10" fontId="2" fillId="0" borderId="26" xfId="5" applyNumberFormat="1" applyFont="1" applyFill="1" applyBorder="1" applyAlignment="1">
      <alignment horizontal="right" vertical="center"/>
    </xf>
    <xf numFmtId="10" fontId="17" fillId="2" borderId="27" xfId="5" applyNumberFormat="1" applyFont="1" applyFill="1" applyBorder="1" applyAlignment="1">
      <alignment horizontal="right" vertical="center"/>
    </xf>
    <xf numFmtId="10" fontId="17" fillId="0" borderId="27" xfId="5" applyNumberFormat="1" applyFont="1" applyFill="1" applyBorder="1" applyAlignment="1">
      <alignment horizontal="right" vertical="center"/>
    </xf>
    <xf numFmtId="10" fontId="16" fillId="0" borderId="27" xfId="5" applyNumberFormat="1" applyFont="1" applyFill="1" applyBorder="1" applyAlignment="1">
      <alignment horizontal="right" vertical="center"/>
    </xf>
    <xf numFmtId="10" fontId="17" fillId="2" borderId="75" xfId="5" applyNumberFormat="1" applyFont="1" applyFill="1" applyBorder="1" applyAlignment="1">
      <alignment horizontal="right" vertical="center"/>
    </xf>
    <xf numFmtId="10" fontId="3" fillId="0" borderId="23" xfId="5" applyNumberFormat="1" applyFont="1" applyFill="1" applyBorder="1" applyAlignment="1">
      <alignment horizontal="right" vertical="center"/>
    </xf>
    <xf numFmtId="10" fontId="9" fillId="0" borderId="23" xfId="5" applyNumberFormat="1" applyFont="1" applyFill="1" applyBorder="1" applyAlignment="1">
      <alignment horizontal="right" vertical="center"/>
    </xf>
    <xf numFmtId="10" fontId="8" fillId="0" borderId="23" xfId="5" applyNumberFormat="1" applyFont="1" applyFill="1" applyBorder="1" applyAlignment="1">
      <alignment horizontal="right" vertical="center"/>
    </xf>
    <xf numFmtId="10" fontId="2" fillId="0" borderId="23" xfId="5" applyNumberFormat="1" applyFont="1" applyFill="1" applyBorder="1" applyAlignment="1">
      <alignment horizontal="right" vertical="center"/>
    </xf>
    <xf numFmtId="10" fontId="3" fillId="0" borderId="25" xfId="5" applyNumberFormat="1" applyFont="1" applyFill="1" applyBorder="1" applyAlignment="1">
      <alignment horizontal="right" vertical="center"/>
    </xf>
    <xf numFmtId="10" fontId="17" fillId="0" borderId="0" xfId="5" applyNumberFormat="1" applyFont="1" applyFill="1" applyBorder="1" applyAlignment="1">
      <alignment horizontal="right" vertical="center"/>
    </xf>
    <xf numFmtId="10" fontId="17" fillId="0" borderId="8" xfId="5" applyNumberFormat="1" applyFont="1" applyFill="1" applyBorder="1" applyAlignment="1">
      <alignment horizontal="right" vertical="center"/>
    </xf>
    <xf numFmtId="10" fontId="16" fillId="0" borderId="8" xfId="5" applyNumberFormat="1" applyFont="1" applyFill="1" applyBorder="1" applyAlignment="1">
      <alignment horizontal="right" vertical="center"/>
    </xf>
    <xf numFmtId="10" fontId="17" fillId="0" borderId="32" xfId="5" applyNumberFormat="1" applyFont="1" applyFill="1" applyBorder="1" applyAlignment="1">
      <alignment horizontal="right" vertical="center"/>
    </xf>
    <xf numFmtId="4" fontId="3" fillId="0" borderId="43" xfId="1" applyNumberFormat="1" applyFont="1" applyBorder="1" applyAlignment="1">
      <alignment horizontal="right" vertical="center"/>
    </xf>
    <xf numFmtId="0" fontId="17" fillId="0" borderId="3" xfId="1" applyFont="1" applyBorder="1" applyAlignment="1">
      <alignment horizontal="left" vertical="center"/>
    </xf>
    <xf numFmtId="0" fontId="17" fillId="0" borderId="2" xfId="1" applyFont="1" applyBorder="1" applyAlignment="1">
      <alignment vertical="center"/>
    </xf>
    <xf numFmtId="4" fontId="46" fillId="0" borderId="2" xfId="1" applyNumberFormat="1" applyFont="1" applyBorder="1" applyAlignment="1">
      <alignment vertical="center"/>
    </xf>
    <xf numFmtId="0" fontId="17" fillId="0" borderId="11" xfId="1" applyFont="1" applyBorder="1" applyAlignment="1">
      <alignment horizontal="left" vertical="center"/>
    </xf>
    <xf numFmtId="0" fontId="16" fillId="0" borderId="11" xfId="1" applyFont="1" applyBorder="1" applyAlignment="1">
      <alignment horizontal="left" vertical="center"/>
    </xf>
    <xf numFmtId="10" fontId="16" fillId="0" borderId="0" xfId="5" applyNumberFormat="1" applyFont="1" applyBorder="1" applyAlignment="1">
      <alignment horizontal="right" vertical="center"/>
    </xf>
    <xf numFmtId="10" fontId="17" fillId="2" borderId="71" xfId="5" applyNumberFormat="1" applyFont="1" applyFill="1" applyBorder="1" applyAlignment="1">
      <alignment horizontal="right" vertical="center"/>
    </xf>
    <xf numFmtId="10" fontId="17" fillId="0" borderId="71" xfId="5" applyNumberFormat="1" applyFont="1" applyFill="1" applyBorder="1" applyAlignment="1">
      <alignment horizontal="right" vertical="center"/>
    </xf>
    <xf numFmtId="10" fontId="16" fillId="0" borderId="71" xfId="5" applyNumberFormat="1" applyFont="1" applyFill="1" applyBorder="1" applyAlignment="1">
      <alignment horizontal="right" vertical="center"/>
    </xf>
    <xf numFmtId="10" fontId="17" fillId="2" borderId="76" xfId="5" applyNumberFormat="1" applyFont="1" applyFill="1" applyBorder="1" applyAlignment="1">
      <alignment horizontal="center" vertical="center"/>
    </xf>
    <xf numFmtId="0" fontId="23" fillId="0" borderId="14" xfId="1" applyFont="1" applyBorder="1" applyAlignment="1">
      <alignment vertical="center"/>
    </xf>
    <xf numFmtId="4" fontId="28" fillId="0" borderId="12" xfId="1" applyNumberFormat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36" fillId="0" borderId="0" xfId="0" applyFont="1"/>
    <xf numFmtId="0" fontId="23" fillId="0" borderId="12" xfId="0" applyFont="1" applyBorder="1"/>
    <xf numFmtId="0" fontId="23" fillId="0" borderId="13" xfId="1" applyFont="1" applyBorder="1" applyAlignment="1">
      <alignment horizontal="left" vertical="center"/>
    </xf>
    <xf numFmtId="0" fontId="34" fillId="0" borderId="13" xfId="0" applyFont="1" applyBorder="1"/>
    <xf numFmtId="0" fontId="25" fillId="0" borderId="12" xfId="1" quotePrefix="1" applyFont="1" applyBorder="1" applyAlignment="1">
      <alignment horizontal="center" vertical="center"/>
    </xf>
    <xf numFmtId="0" fontId="0" fillId="0" borderId="12" xfId="1" applyFont="1" applyBorder="1" applyAlignment="1">
      <alignment vertical="center"/>
    </xf>
    <xf numFmtId="4" fontId="28" fillId="0" borderId="12" xfId="1" quotePrefix="1" applyNumberFormat="1" applyFont="1" applyBorder="1" applyAlignment="1">
      <alignment vertical="center"/>
    </xf>
    <xf numFmtId="4" fontId="0" fillId="0" borderId="0" xfId="0" applyNumberFormat="1"/>
    <xf numFmtId="43" fontId="0" fillId="0" borderId="0" xfId="9" applyFont="1" applyFill="1"/>
    <xf numFmtId="4" fontId="23" fillId="0" borderId="12" xfId="1" quotePrefix="1" applyNumberFormat="1" applyFont="1" applyBorder="1" applyAlignment="1">
      <alignment vertical="center"/>
    </xf>
    <xf numFmtId="43" fontId="36" fillId="0" borderId="0" xfId="9" applyFont="1" applyFill="1"/>
    <xf numFmtId="0" fontId="23" fillId="0" borderId="18" xfId="1" applyFont="1" applyBorder="1" applyAlignment="1">
      <alignment vertical="center"/>
    </xf>
    <xf numFmtId="0" fontId="23" fillId="0" borderId="19" xfId="1" applyFont="1" applyBorder="1" applyAlignment="1">
      <alignment vertical="center"/>
    </xf>
    <xf numFmtId="0" fontId="1" fillId="0" borderId="19" xfId="0" applyFont="1" applyBorder="1"/>
    <xf numFmtId="0" fontId="25" fillId="0" borderId="19" xfId="1" applyFont="1" applyBorder="1" applyAlignment="1">
      <alignment horizontal="center" vertical="center"/>
    </xf>
    <xf numFmtId="0" fontId="25" fillId="0" borderId="19" xfId="1" applyFont="1" applyBorder="1" applyAlignment="1">
      <alignment horizontal="left" vertical="center"/>
    </xf>
    <xf numFmtId="0" fontId="0" fillId="0" borderId="0" xfId="0" applyAlignment="1">
      <alignment horizontal="center"/>
    </xf>
    <xf numFmtId="43" fontId="26" fillId="0" borderId="0" xfId="9" applyFont="1" applyFill="1"/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4" fontId="28" fillId="0" borderId="0" xfId="1" applyNumberFormat="1" applyFont="1" applyAlignment="1">
      <alignment vertical="center"/>
    </xf>
    <xf numFmtId="10" fontId="37" fillId="0" borderId="0" xfId="5" applyNumberFormat="1" applyFont="1" applyFill="1" applyAlignment="1">
      <alignment vertical="center"/>
    </xf>
    <xf numFmtId="0" fontId="27" fillId="0" borderId="15" xfId="1" applyFont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 wrapText="1"/>
    </xf>
    <xf numFmtId="4" fontId="27" fillId="0" borderId="16" xfId="1" applyNumberFormat="1" applyFont="1" applyBorder="1" applyAlignment="1">
      <alignment horizontal="center" vertical="center" wrapText="1"/>
    </xf>
    <xf numFmtId="4" fontId="28" fillId="0" borderId="16" xfId="1" applyNumberFormat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/>
    <xf numFmtId="0" fontId="27" fillId="0" borderId="0" xfId="0" applyFont="1"/>
    <xf numFmtId="43" fontId="27" fillId="0" borderId="0" xfId="9" applyFont="1" applyFill="1"/>
    <xf numFmtId="0" fontId="35" fillId="0" borderId="0" xfId="0" applyFont="1" applyAlignment="1">
      <alignment horizontal="center"/>
    </xf>
    <xf numFmtId="43" fontId="27" fillId="0" borderId="0" xfId="9" applyFont="1" applyFill="1" applyAlignment="1">
      <alignment horizontal="center"/>
    </xf>
    <xf numFmtId="43" fontId="0" fillId="0" borderId="0" xfId="9" applyFont="1" applyFill="1" applyAlignment="1">
      <alignment horizontal="center"/>
    </xf>
    <xf numFmtId="0" fontId="0" fillId="0" borderId="0" xfId="0" quotePrefix="1"/>
    <xf numFmtId="43" fontId="26" fillId="0" borderId="0" xfId="9" applyFont="1" applyFill="1" applyAlignment="1">
      <alignment horizontal="center"/>
    </xf>
    <xf numFmtId="43" fontId="26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0" fontId="2" fillId="0" borderId="0" xfId="1" applyNumberFormat="1" applyAlignment="1">
      <alignment horizontal="center" vertical="center"/>
    </xf>
    <xf numFmtId="0" fontId="3" fillId="0" borderId="0" xfId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</cellXfs>
  <cellStyles count="15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Porcentagem" xfId="5" builtinId="5"/>
    <cellStyle name="Vírgula" xfId="9" builtinId="3"/>
    <cellStyle name="Vírgula 2" xfId="3" xr:uid="{00000000-0005-0000-0000-000006000000}"/>
    <cellStyle name="Vírgula 2 2" xfId="7" xr:uid="{77463A67-FD21-4679-BA1E-CF90736A4A87}"/>
    <cellStyle name="Vírgula 2 2 2" xfId="12" xr:uid="{1403918A-6E27-4E8A-A3FC-A3AC0CDB5411}"/>
    <cellStyle name="Vírgula 2 3" xfId="10" xr:uid="{814681D5-A3CC-4317-8976-146E3BF93185}"/>
    <cellStyle name="Vírgula 3" xfId="6" xr:uid="{C0A8535A-814E-4070-938A-E2094F6DE8DC}"/>
    <cellStyle name="Vírgula 3 2" xfId="11" xr:uid="{055A0D26-5C20-4F7C-A773-B04465530100}"/>
    <cellStyle name="Vírgula 4" xfId="8" xr:uid="{531997CF-F882-4986-BACD-552EAE7B00A4}"/>
    <cellStyle name="Vírgula 4 2" xfId="13" xr:uid="{20E4923C-D408-4037-BB3C-7E4552C7D313}"/>
    <cellStyle name="Vírgula 5" xfId="14" xr:uid="{61890397-42F3-44D6-995F-3244EF6709DD}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99"/>
        <name val="Arial"/>
        <family val="2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ck">
          <color indexed="8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0"/>
        <name val="Arial"/>
        <family val="2"/>
        <scheme val="none"/>
      </font>
      <border diagonalUp="0" diagonalDown="0" outline="0">
        <left style="thick">
          <color indexed="8"/>
        </left>
        <right/>
      </border>
    </dxf>
    <dxf>
      <font>
        <i val="0"/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i val="0"/>
        <strike val="0"/>
        <outline val="0"/>
        <shadow val="0"/>
        <u val="none"/>
        <vertAlign val="baseline"/>
        <sz val="10"/>
        <name val="Arial"/>
        <family val="2"/>
        <scheme val="none"/>
      </font>
      <border diagonalUp="0" diagonalDown="0">
        <left style="thick">
          <color indexed="8"/>
        </left>
      </border>
    </dxf>
    <dxf>
      <font>
        <i val="0"/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i val="0"/>
        <strike val="0"/>
        <outline val="0"/>
        <shadow val="0"/>
        <u val="none"/>
        <vertAlign val="baseline"/>
        <sz val="10"/>
        <name val="Arial"/>
        <family val="2"/>
        <scheme val="none"/>
      </font>
      <border diagonalUp="0" diagonalDown="0">
        <left style="thick">
          <color indexed="8"/>
        </left>
      </border>
    </dxf>
    <dxf>
      <font>
        <i val="0"/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i val="0"/>
        <strike val="0"/>
        <outline val="0"/>
        <shadow val="0"/>
        <u val="none"/>
        <vertAlign val="baseline"/>
        <sz val="10"/>
        <name val="Arial"/>
        <family val="2"/>
        <scheme val="none"/>
      </font>
      <border diagonalUp="0" diagonalDown="0" outline="0">
        <left style="thick">
          <color indexed="8"/>
        </left>
      </border>
    </dxf>
    <dxf>
      <border outline="0">
        <left style="thin">
          <color indexed="8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99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/>
        <bottom/>
      </border>
    </dxf>
    <dxf>
      <font>
        <i val="0"/>
        <strike val="0"/>
        <outline val="0"/>
        <shadow val="0"/>
        <u val="none"/>
        <vertAlign val="baseline"/>
        <color rgb="FF000099"/>
      </font>
      <numFmt numFmtId="14" formatCode="0.00%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99"/>
        <name val="Arial"/>
        <family val="2"/>
        <charset val="1"/>
        <scheme val="none"/>
      </font>
      <numFmt numFmtId="14" formatCode="0.00%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rgb="FF000099"/>
        <name val="Arial"/>
        <family val="2"/>
        <charset val="1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outline="0">
        <left style="medium">
          <color indexed="8"/>
        </lef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i val="0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family val="2"/>
        <charset val="1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family val="2"/>
        <charset val="1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border diagonalUp="0" diagonalDown="0">
        <left style="thick">
          <color indexed="8"/>
        </left>
        <right style="thick">
          <color indexed="8"/>
        </right>
        <top style="thick">
          <color indexed="8"/>
        </top>
        <bottom style="thick">
          <color indexed="8"/>
        </bottom>
      </border>
    </dxf>
    <dxf>
      <font>
        <i val="0"/>
        <family val="2"/>
      </font>
      <numFmt numFmtId="1" formatCode="0"/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i val="0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99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8"/>
        </left>
        <right/>
        <top/>
        <bottom/>
      </border>
    </dxf>
    <dxf>
      <numFmt numFmtId="7" formatCode="#,##0.00;\-#,##0.00"/>
      <border diagonalUp="0" diagonalDown="0" outline="0">
        <left style="medium">
          <color indexed="8"/>
        </left>
        <right/>
      </border>
    </dxf>
    <dxf>
      <numFmt numFmtId="7" formatCode="#,##0.00;\-#,##0.00"/>
    </dxf>
    <dxf>
      <numFmt numFmtId="7" formatCode="#,##0.00;\-#,##0.00"/>
      <border diagonalUp="0" diagonalDown="0">
        <left style="medium">
          <color indexed="8"/>
        </left>
      </border>
    </dxf>
    <dxf>
      <numFmt numFmtId="7" formatCode="#,##0.00;\-#,##0.00"/>
    </dxf>
    <dxf>
      <numFmt numFmtId="7" formatCode="#,##0.00;\-#,##0.00"/>
      <border diagonalUp="0" diagonalDown="0">
        <left style="medium">
          <color indexed="8"/>
        </left>
      </border>
    </dxf>
    <dxf>
      <border diagonalUp="0" diagonalDown="0">
        <left style="thick">
          <color indexed="8"/>
        </left>
        <right style="thick">
          <color indexed="8"/>
        </right>
        <top style="thick">
          <color indexed="8"/>
        </top>
        <bottom style="thick">
          <color indexed="8"/>
        </bottom>
      </border>
    </dxf>
    <dxf>
      <border outline="0"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7" formatCode="#,##0.00;\-#,##0.00"/>
      <fill>
        <patternFill patternType="none">
          <fgColor indexed="64"/>
          <bgColor auto="1"/>
        </patternFill>
      </fill>
      <border diagonalUp="0" diagonalDown="0" outline="0">
        <left style="medium">
          <color indexed="8"/>
        </left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numFmt numFmtId="7" formatCode="#,##0.00;\-#,##0.00"/>
      <fill>
        <patternFill patternType="none">
          <fgColor indexed="64"/>
          <bgColor auto="1"/>
        </patternFill>
      </fill>
    </dxf>
    <dxf>
      <numFmt numFmtId="7" formatCode="#,##0.00;\-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diagonalUp="0" diagonalDown="0">
        <left style="thick">
          <color indexed="8"/>
        </left>
        <right style="thick">
          <color indexed="8"/>
        </right>
        <top style="thick">
          <color indexed="8"/>
        </top>
        <bottom style="thick">
          <color indexed="8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9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top style="hair">
          <color auto="1"/>
        </top>
      </border>
    </dxf>
    <dxf>
      <border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colors>
    <mruColors>
      <color rgb="FF0000FF"/>
      <color rgb="FF000099"/>
      <color rgb="FF80C535"/>
      <color rgb="FFFFFF66"/>
      <color rgb="FF26E253"/>
      <color rgb="FFFFFF99"/>
      <color rgb="FF26F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2838451</xdr:colOff>
      <xdr:row>0</xdr:row>
      <xdr:rowOff>123826</xdr:rowOff>
    </xdr:from>
    <xdr:to>
      <xdr:col>2</xdr:col>
      <xdr:colOff>219076</xdr:colOff>
      <xdr:row>2</xdr:row>
      <xdr:rowOff>209550</xdr:rowOff>
    </xdr:to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6" y="123826"/>
          <a:ext cx="619125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152400</xdr:rowOff>
    </xdr:from>
    <xdr:to>
      <xdr:col>2</xdr:col>
      <xdr:colOff>714375</xdr:colOff>
      <xdr:row>2</xdr:row>
      <xdr:rowOff>200025</xdr:rowOff>
    </xdr:to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52400"/>
          <a:ext cx="704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3552825</xdr:colOff>
      <xdr:row>0</xdr:row>
      <xdr:rowOff>219076</xdr:rowOff>
    </xdr:from>
    <xdr:to>
      <xdr:col>2</xdr:col>
      <xdr:colOff>66675</xdr:colOff>
      <xdr:row>2</xdr:row>
      <xdr:rowOff>219076</xdr:rowOff>
    </xdr:to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30ED9EF7-E354-411C-8E7E-65E97BA0ECE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19076"/>
          <a:ext cx="723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3514724</xdr:colOff>
      <xdr:row>0</xdr:row>
      <xdr:rowOff>123825</xdr:rowOff>
    </xdr:from>
    <xdr:to>
      <xdr:col>2</xdr:col>
      <xdr:colOff>238124</xdr:colOff>
      <xdr:row>3</xdr:row>
      <xdr:rowOff>0</xdr:rowOff>
    </xdr:to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995EB03F-E247-4B96-9BE3-64B59FFD106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4" y="123825"/>
          <a:ext cx="638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95249</xdr:rowOff>
    </xdr:from>
    <xdr:to>
      <xdr:col>3</xdr:col>
      <xdr:colOff>666750</xdr:colOff>
      <xdr:row>3</xdr:row>
      <xdr:rowOff>28574</xdr:rowOff>
    </xdr:to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D61065F0-B522-4221-801D-7B9B3A5F5F0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95249"/>
          <a:ext cx="571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C/2018/2018_Proposta%20Or&#231;ament&#225;ria%20para%202019/Aprovada%20pela%20CCSS%20e%20PLEN&#193;RIO%20(FINAL-DEFINITIVA)/OR&#199;AMENTO%20PARA%202019__PL-1950-2018%20(por%20Centro%20de%20Cus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1037-Anexo II"/>
      <sheetName val="RES1037-Anexo III"/>
      <sheetName val="RES1037-Anexo IV"/>
      <sheetName val="RES1037-Anexo V"/>
      <sheetName val="RES1037-Anexo VI"/>
      <sheetName val="TOTAL - DESPESAS"/>
      <sheetName val="PRODESU-I"/>
      <sheetName val="PRODESU-II"/>
      <sheetName val="PRODESU-III"/>
      <sheetName val="PRODESU-IV"/>
      <sheetName val="PLENÁRIO-roe"/>
      <sheetName val="CAIS-roe-ct-gt-ativ"/>
      <sheetName val="CCSS-roe-ct-gt-ativ"/>
      <sheetName val="CEAP-roe-ct-gt-ativ"/>
      <sheetName val="CEEP-roe-ct-gt-ativ"/>
      <sheetName val="CONP-roe-ct-gt-ativ"/>
      <sheetName val="PRESIDÊNCIA"/>
      <sheetName val="CD-roe-gt-ativ"/>
      <sheetName val="CME-roe"/>
      <sheetName val="CEF-roe-ativ"/>
      <sheetName val="CON-soea-cnp"/>
      <sheetName val="CCM-roe"/>
      <sheetName val="CP-roe"/>
      <sheetName val="CDEN-roe"/>
      <sheetName val="CCEC-roe"/>
      <sheetName val="CGPRODESU-roe"/>
      <sheetName val="CHM-Chamamento Público"/>
      <sheetName val="CPAT-Patrocínios"/>
      <sheetName val="LIDER-encontro líderes"/>
      <sheetName val="SOEA"/>
      <sheetName val="CNP"/>
      <sheetName val="TCF-treinamento conselheiros"/>
      <sheetName val="REPR-Representações"/>
      <sheetName val="INTER-Missões Internacionais"/>
      <sheetName val="OUT-outros eventos"/>
      <sheetName val="GABI"/>
      <sheetName val="SAF"/>
      <sheetName val="SEG"/>
      <sheetName val="SIS"/>
      <sheetName val="RH-Recursos Humanos"/>
      <sheetName val="JUR-Jurídico"/>
      <sheetName val="AUD-Auditoria e Controle"/>
      <sheetName val="SEMEN-Seminários-Encontros Emp"/>
      <sheetName val="final"/>
      <sheetName val="Fórmula Guru Excel"/>
      <sheetName val="JETONS-DIÁRIAS-AT-DT"/>
    </sheetNames>
    <sheetDataSet>
      <sheetData sheetId="0"/>
      <sheetData sheetId="1"/>
      <sheetData sheetId="2"/>
      <sheetData sheetId="3"/>
      <sheetData sheetId="4"/>
      <sheetData sheetId="5"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F06806-4763-4C1A-A9D4-BCF4FE73CF08}" name="Tabela1" displayName="Tabela1" ref="A3:P1051" totalsRowShown="0" headerRowDxfId="129" dataDxfId="127" headerRowBorderDxfId="128" tableBorderDxfId="126" totalsRowBorderDxfId="125" headerRowCellStyle="Normal 2">
  <autoFilter ref="A3:P1051" xr:uid="{7EF06806-4763-4C1A-A9D4-BCF4FE73CF08}"/>
  <sortState xmlns:xlrd2="http://schemas.microsoft.com/office/spreadsheetml/2017/richdata2" ref="A4:P1051">
    <sortCondition ref="E4:E1051"/>
    <sortCondition ref="I4:I1051"/>
    <sortCondition ref="J4:J1051"/>
    <sortCondition ref="K4:K1051"/>
  </sortState>
  <tableColumns count="16">
    <tableColumn id="1" xr3:uid="{91A4738A-48A8-491F-A9A7-2A6FC3F0E1BE}" name="Despesa" dataDxfId="124" totalsRowDxfId="123" dataCellStyle="Normal 2"/>
    <tableColumn id="2" xr3:uid="{34F67FCF-90B7-4D78-A303-376B52E38343}" name="Categoria Econômica" dataDxfId="122" totalsRowDxfId="121" dataCellStyle="Normal 2"/>
    <tableColumn id="3" xr3:uid="{87E1BC2B-FFC1-45DA-8D5B-BADA97DDE308}" name="Grupo de Natureza de Despesa" dataDxfId="120" totalsRowDxfId="119" dataCellStyle="Normal 2"/>
    <tableColumn id="4" xr3:uid="{6114DA52-73EE-4604-A225-BB91722EC27C}" name="Grupo de Conta" dataDxfId="118" totalsRowDxfId="117" dataCellStyle="Normal 2"/>
    <tableColumn id="5" xr3:uid="{5818F2E0-9675-46D3-980E-874BCDFB4FAD}" name="Código da Conta" dataDxfId="116" totalsRowDxfId="115" dataCellStyle="Normal 2"/>
    <tableColumn id="6" xr3:uid="{6B4FD59B-EE10-47BF-B80D-2A55AC9E5028}" name="Conta Orçamentária" dataDxfId="114" totalsRowDxfId="113"/>
    <tableColumn id="7" xr3:uid="{20261A9E-89FE-41EB-82E6-18C340D60CBE}" name="U.O. Responsável" dataDxfId="112" totalsRowDxfId="111" dataCellStyle="Normal 2"/>
    <tableColumn id="16" xr3:uid="{96A593B0-5F64-4B71-9394-7691C60DA834}" name="PPA?" dataDxfId="110" totalsRowDxfId="109" dataCellStyle="Normal 2"/>
    <tableColumn id="8" xr3:uid="{663CA144-62D2-428E-8B61-BAA6F6B1D522}" name="Programa" dataDxfId="108" totalsRowDxfId="107" dataCellStyle="Normal 2"/>
    <tableColumn id="9" xr3:uid="{D60C90F4-4448-42BA-85A2-2C8BAECF8F79}" name="SubPrograma" dataDxfId="106" totalsRowDxfId="105" dataCellStyle="Normal 2"/>
    <tableColumn id="10" xr3:uid="{2EEF2368-57B4-4677-AE36-D15BA45158C5}" name="Centro de Custo" dataDxfId="104" totalsRowDxfId="103" dataCellStyle="Normal 2"/>
    <tableColumn id="11" xr3:uid="{563A7A7F-04C8-4D74-97AE-5737D737A871}" name="Valor Solicitado (R$)" dataDxfId="102" totalsRowDxfId="101" dataCellStyle="Normal 2"/>
    <tableColumn id="12" xr3:uid="{5206D599-608B-42E8-9A9F-800B13ECA01D}" name="Proposta Orçamentária 2022" dataDxfId="100" totalsRowDxfId="99" dataCellStyle="Normal 2"/>
    <tableColumn id="13" xr3:uid="{084B69FC-1A8E-410B-9C08-B8BBEC402C0F}" name="Processo" dataDxfId="98" totalsRowDxfId="97" dataCellStyle="Normal 2"/>
    <tableColumn id="14" xr3:uid="{2E4DD69F-F465-4CEA-B2FE-5ADB9B62B0CC}" name="Documento" dataDxfId="96" totalsRowDxfId="95" dataCellStyle="Normal 2"/>
    <tableColumn id="15" xr3:uid="{976A941A-2084-4892-AD0C-88E19A5F79C0}" name="Finalidade" dataDxfId="94" totalsRowDxfId="93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D7B888-0C80-44AF-B70E-8179D8C89932}" name="Tabela2" displayName="Tabela2" ref="A9:G89" totalsRowShown="0" headerRowDxfId="92" dataDxfId="90" headerRowBorderDxfId="91" tableBorderDxfId="89">
  <tableColumns count="7">
    <tableColumn id="1" xr3:uid="{77761FB5-D66A-49C4-87E9-6E18C40804A4}" name="Código" dataDxfId="88"/>
    <tableColumn id="2" xr3:uid="{E9F2BF78-18A4-4F18-9D04-A82820A27BC5}" name="Natureza" dataDxfId="87"/>
    <tableColumn id="3" xr3:uid="{39A00B09-6C4A-4D5F-9BEE-2A5C16A26245}" name="Dotação Atual_x000a_2022" dataDxfId="86"/>
    <tableColumn id="4" xr3:uid="{8BC4D7F8-194A-49FF-9ED6-91CA19A61167}" name="Arrecadado _x000a_até 30/06/2022" dataDxfId="85"/>
    <tableColumn id="5" xr3:uid="{BCEA4DC6-9248-43DA-9CA0-8D3F0359722D}" name="%_x000a_Arrecadado_x000a_x_x000a_Orçado" dataDxfId="84">
      <calculatedColumnFormula>+D10/C10</calculatedColumnFormula>
    </tableColumn>
    <tableColumn id="6" xr3:uid="{58E76814-F330-42EB-AE22-62BDEC428ACD}" name="Proposta Orçamentária_x000a_2023" dataDxfId="83"/>
    <tableColumn id="7" xr3:uid="{5D6A9AA4-7431-424F-8A5C-4F0B782D831E}" name="% sobre_x000a_Total" dataDxfId="82">
      <calculatedColumnFormula>F10/$F$10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8429978-C6FB-4B9A-94B0-D71547FF5C1D}" name="Tabela10" displayName="Tabela10" ref="A9:I36" totalsRowShown="0" headerRowDxfId="81" headerRowBorderDxfId="80" tableBorderDxfId="79">
  <tableColumns count="9">
    <tableColumn id="1" xr3:uid="{05B0E499-6862-42B4-A553-B8F598920676}" name="Código"/>
    <tableColumn id="2" xr3:uid="{DAB964B5-D22B-488E-95A5-6E3FBA8CACCC}" name="Natureza"/>
    <tableColumn id="3" xr3:uid="{30752C51-1449-4B0A-8BDD-7BC5C8138286}" name="Orçado_x000a_2021" dataDxfId="78"/>
    <tableColumn id="4" xr3:uid="{D6A8AE87-07B7-4E17-B9FF-9ADB46AE014A}" name="Arrecadado_x000a_2021" dataDxfId="77"/>
    <tableColumn id="6" xr3:uid="{028D5BD8-4B54-464B-B040-ECC67D3238F4}" name="Orçado_x000a_2022" dataDxfId="76"/>
    <tableColumn id="7" xr3:uid="{B378285D-6B42-4C9B-A617-982D1C37197C}" name="Arrecadado_x000a_até 30/06/2022" dataDxfId="75"/>
    <tableColumn id="9" xr3:uid="{546E8F44-1788-4F55-A080-BA2CA2B12F53}" name="Proposta Orçamentária 2023" dataDxfId="74"/>
    <tableColumn id="5" xr3:uid="{CDC5FBFA-E41E-45D9-B66C-FEA89C934D95}" name="% sobre_x000a_Total" dataDxfId="73" dataCellStyle="Porcentagem">
      <calculatedColumnFormula>G10/$G$36</calculatedColumnFormula>
    </tableColumn>
    <tableColumn id="10" xr3:uid="{2FEFC9B8-2C16-4708-A252-D220A69DA297}" name="% sobre_x000a_Orçado 2022" dataDxfId="72">
      <calculatedColumnFormula>Tabela10[[#This Row],[Proposta Orçamentária 2023]]/Tabela10[[#This Row],[Orçado
2022]]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801CB33-4D8C-4947-A682-97512A157B01}" name="Tabela11" displayName="Tabela11" ref="A9:S178" totalsRowShown="0" headerRowDxfId="71" dataDxfId="69" headerRowBorderDxfId="70" tableBorderDxfId="68" headerRowCellStyle="Normal 2">
  <tableColumns count="19">
    <tableColumn id="8" xr3:uid="{E9FB978A-102E-4894-AB7F-41A0FA0971CE}" name="Código" dataDxfId="67" totalsRowDxfId="66" dataCellStyle="Normal 2" totalsRowCellStyle="Normal 2"/>
    <tableColumn id="9" xr3:uid="{9CDE7292-EB86-4894-8DA2-1D72C301667A}" name="Natureza" dataDxfId="65" totalsRowDxfId="64" dataCellStyle="Normal 2" totalsRowCellStyle="Normal 2"/>
    <tableColumn id="10" xr3:uid="{5392B70D-80CD-4439-B1CA-ECDE052E4FB5}" name="Dotação Atual_x000a_2022" dataDxfId="63" totalsRowDxfId="62" dataCellStyle="Normal 2" totalsRowCellStyle="Normal 2"/>
    <tableColumn id="11" xr3:uid="{8C5F54FB-93FB-4AC1-A2B3-F2083F14C1F0}" name="Executado_x000a_Desp. Liquidada_x000a_ até 30/06/2022" dataDxfId="61" totalsRowDxfId="60" dataCellStyle="Normal 2" totalsRowCellStyle="Normal 2"/>
    <tableColumn id="12" xr3:uid="{9A40DA26-9AE5-4C9E-81A5-EB02F89ABF58}" name="%_x000a_Executado x Orçado" dataDxfId="59" totalsRowDxfId="58" dataCellStyle="Porcentagem" totalsRowCellStyle="Normal 2"/>
    <tableColumn id="26" xr3:uid="{2527EBBD-9747-4702-ABB9-52ABA611FA03}" name="Proposta Orçamentária 2023" dataDxfId="57" totalsRowDxfId="56" dataCellStyle="Normal 2" totalsRowCellStyle="Normal 2"/>
    <tableColumn id="2" xr3:uid="{B17D11D1-93C6-44C9-9CF2-D1CA2D0C97B0}" name="% sobre Total" dataDxfId="55" totalsRowDxfId="54" dataCellStyle="Porcentagem" totalsRowCellStyle="Normal 2">
      <calculatedColumnFormula>+F10/$F$10</calculatedColumnFormula>
    </tableColumn>
    <tableColumn id="27" xr3:uid="{CA1AFE3B-BA97-4ABF-9197-6DEBCA54A87A}" name="% sobre_x000a_Orçado 2022" dataDxfId="53" totalsRowCellStyle="Normal 2">
      <calculatedColumnFormula>Tabela11[[#This Row],[Proposta Orçamentária 2023]]/Tabela11[[#This Row],[Dotação Atual
2022]]</calculatedColumnFormula>
    </tableColumn>
    <tableColumn id="13" xr3:uid="{B32B1A7C-66F7-4260-AD06-2D0FE56CD06A}" name="GOVERNANÇA_x000a_Direção e Liderança" dataDxfId="52" dataCellStyle="Normal 2" totalsRowCellStyle="Normal 2"/>
    <tableColumn id="1" xr3:uid="{8A7E52FF-C2AF-4AA4-83BA-4C652DB5EBC9}" name="GOVERNANÇA_x000a_Relacionamento Institucional" dataDxfId="51" dataCellStyle="Normal 2" totalsRowCellStyle="Normal 2"/>
    <tableColumn id="15" xr3:uid="{135FA1FB-4625-4AD3-B884-37BD7EBCFEF6}" name="GOVERNANÇA_x000a_Estratégia_x000a_" dataDxfId="50" totalsRowDxfId="49" dataCellStyle="Normal 2" totalsRowCellStyle="Normal 2"/>
    <tableColumn id="16" xr3:uid="{F1852D5D-0C2F-4685-9BB9-26840DF635A6}" name="GOVERNANÇA_x000a_Controle_x000a_" dataDxfId="48" totalsRowDxfId="47" dataCellStyle="Normal 2" totalsRowCellStyle="Normal 2"/>
    <tableColumn id="17" xr3:uid="{8165A1E1-742B-439D-BF14-5A36BCF18657}" name="FINALIDADE_x000a_Fiscalização_x000a_" dataDxfId="46" totalsRowDxfId="45" dataCellStyle="Normal 2" totalsRowCellStyle="Normal 2"/>
    <tableColumn id="18" xr3:uid="{A2DF7FFB-3C8D-419E-9FAC-9D1E04EE10C7}" name="FINALIDADE_x000a_Registro_x000a_" dataDxfId="44" totalsRowDxfId="43" dataCellStyle="Normal 2" totalsRowCellStyle="Normal 2"/>
    <tableColumn id="19" xr3:uid="{48B87CE8-E68E-48DB-B636-6BC3BF18D566}" name="FINALIDADE_x000a_Julgamento e Normatização" dataDxfId="42" totalsRowDxfId="41" dataCellStyle="Normal 2" totalsRowCellStyle="Normal 2"/>
    <tableColumn id="21" xr3:uid="{A621520E-8FEC-4D64-9DD4-6D9951254F90}" name="GESTÃO_x000a_Comunicação _x000a_e Eventos" dataDxfId="40" totalsRowDxfId="39" dataCellStyle="Normal 2" totalsRowCellStyle="Normal 2"/>
    <tableColumn id="22" xr3:uid="{8FA9B2DB-E0EF-4BA9-9341-4FA55CCD1170}" name="GESTÃO_x000a_Suporte Técnico-Administrativo" dataDxfId="38" totalsRowDxfId="37" dataCellStyle="Normal 2" totalsRowCellStyle="Normal 2"/>
    <tableColumn id="23" xr3:uid="{73D101EB-C467-4C1A-A1CE-91DDFD0A8D41}" name="GESTÃO_x000a_Tecnologia da Informação" dataDxfId="36" totalsRowDxfId="35" dataCellStyle="Normal 2" totalsRowCellStyle="Normal 2"/>
    <tableColumn id="25" xr3:uid="{FC3E2A2E-6C9C-4E6A-A78B-0A955B15E876}" name="GESTÃO_x000a_Infraestrutura_x000a_" dataDxfId="34" totalsRowDxfId="33" dataCellStyle="Normal 2" totalsRowCellStyle="Normal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D559181-BE30-4DB1-9BE3-21FEA504F909}" name="Tabela12" displayName="Tabela12" ref="A9:S58" totalsRowShown="0" headerRowDxfId="32" dataDxfId="30" headerRowBorderDxfId="31" tableBorderDxfId="29" headerRowCellStyle="Normal 2" dataCellStyle="Normal 2">
  <tableColumns count="19">
    <tableColumn id="1" xr3:uid="{31B340DE-9D4F-41B1-95E7-AB6F1D4A3E00}" name="Código" dataDxfId="28"/>
    <tableColumn id="2" xr3:uid="{2FBCCF49-DE09-4CEF-A7BB-CFB74E8906E5}" name="Natureza" dataDxfId="27"/>
    <tableColumn id="3" xr3:uid="{1C33F4FF-842E-4E62-91AD-174128487257}" name="Orçado_x000a_2021" dataDxfId="26"/>
    <tableColumn id="4" xr3:uid="{BAD3936D-66F2-4447-92FE-3AE033C817A8}" name="Executado_x000a_Desp. Empenhada_x000a_2021" dataDxfId="25"/>
    <tableColumn id="5" xr3:uid="{18E38FD4-28C0-4722-B689-715BF69EC6C0}" name="Orçado_x000a_2022" dataDxfId="24"/>
    <tableColumn id="6" xr3:uid="{1876D6BF-B42F-46DC-A049-54CBAD87C0C7}" name="Executado_x000a_Desp. Liquidada_x000a_ até 30/06/2022" dataDxfId="23"/>
    <tableColumn id="7" xr3:uid="{E138E79B-E039-4589-BABA-CB3DE04016B4}" name="Proposta Orçamentária 2023" dataDxfId="22"/>
    <tableColumn id="18" xr3:uid="{E086C7EA-B6AF-4E70-A9F1-CD388F6F7378}" name="% sobre _x000a_Orçado 2022" dataDxfId="21" dataCellStyle="Porcentagem">
      <calculatedColumnFormula>Tabela12[[#This Row],[Proposta Orçamentária 2023]]/Tabela12[[#This Row],[Orçado
2022]]</calculatedColumnFormula>
    </tableColumn>
    <tableColumn id="8" xr3:uid="{F8D6735B-9C58-44EA-89A1-8A9B9B6BA4D8}" name="GOVERNANÇA_x000a_Direção e Liderança" dataDxfId="20" dataCellStyle="Normal 2"/>
    <tableColumn id="19" xr3:uid="{16DFA296-9400-47C6-A1E1-449E08D0E50F}" name="GOVERNANÇA_x000a_Relacionamento Institucional" dataDxfId="19" dataCellStyle="Normal 2"/>
    <tableColumn id="9" xr3:uid="{DC289D97-5D1D-4F63-A760-066C1B640EC8}" name="GOVERNANÇA_x000a_Estratégia_x000a_" dataDxfId="18" dataCellStyle="Normal 2"/>
    <tableColumn id="10" xr3:uid="{5DD630CB-5823-48CD-83EC-D8B7EF15CD74}" name="GOVERNANÇA_x000a_Controle_x000a_" dataDxfId="17" dataCellStyle="Normal 2"/>
    <tableColumn id="11" xr3:uid="{ACFA568F-D5AC-4800-87D8-11C84A4632E9}" name="FINALIDADE_x000a_Fiscalização_x000a_" dataDxfId="16" dataCellStyle="Normal 2"/>
    <tableColumn id="12" xr3:uid="{25863F60-0CAC-4DEA-8C99-5F9ABD5CCD03}" name="FINALIDADE_x000a_Registro_x000a_" dataDxfId="15" dataCellStyle="Normal 2"/>
    <tableColumn id="13" xr3:uid="{BF67EF18-868F-4CC4-93C8-C21D6A0275A0}" name="FINALIDADE_x000a_Julgamento e Normatização" dataDxfId="14" dataCellStyle="Normal 2"/>
    <tableColumn id="14" xr3:uid="{D05B4F0E-5ED5-4F33-9E79-FEC8300BAAC5}" name="GESTÃO_x000a_Comunicação _x000a_e Eventos" dataDxfId="13" dataCellStyle="Normal 2"/>
    <tableColumn id="15" xr3:uid="{77FAF416-EC80-4915-838E-CBA4787316AF}" name="GESTÃO_x000a_Suporte Técnico-Administrativo" dataDxfId="12" dataCellStyle="Normal 2"/>
    <tableColumn id="16" xr3:uid="{25865FCA-D7C7-4BC7-9BEE-D2EF20A16AEE}" name="GESTÃO_x000a_Tecnologia da Informação" dataDxfId="11" dataCellStyle="Normal 2"/>
    <tableColumn id="17" xr3:uid="{B7ECA164-F8D5-4CF7-A1DE-443E8BDAE517}" name="GESTÃO_x000a_Infraestrutura_x000a_" dataDxfId="10" dataCellStyle="Normal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D3CDBB7-0AA3-4E42-9C95-79CA780EE16A}" name="Tabela13" displayName="Tabela13" ref="A9:F45" totalsRowShown="0" headerRowDxfId="9" dataDxfId="7" headerRowBorderDxfId="8" tableBorderDxfId="6" headerRowCellStyle="Normal 2">
  <tableColumns count="6">
    <tableColumn id="1" xr3:uid="{73EB5F68-8B7C-4BF3-8F94-8802291FC5F4}" name="Código da_x000a_Receita" dataDxfId="5"/>
    <tableColumn id="2" xr3:uid="{00BDC858-CF47-4875-AA90-C6162C9E71DF}" name="Receitas" dataDxfId="4"/>
    <tableColumn id="3" xr3:uid="{1003CF0C-DCBF-44AF-81C2-521CAB964622}" name="Proposta Orçamentária_x000a_Receitas Estimadas_x000a_ 2023" dataDxfId="3" dataCellStyle="Normal 2"/>
    <tableColumn id="5" xr3:uid="{A4E1425D-956B-4FAA-A6D6-DC3E8BD93165}" name="Código da Despesa" dataDxfId="2" dataCellStyle="Normal 2"/>
    <tableColumn id="6" xr3:uid="{301E8CD7-7E03-4EF2-8AE5-0234E922E4D4}" name="Despesas" dataDxfId="1" dataCellStyle="Normal 2"/>
    <tableColumn id="7" xr3:uid="{432DE505-845E-461E-83F1-FC7EC1C219DA}" name="Proposta Orçamentária_x000a_Despesas Fixadas _x000a_2023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05A5-CC8F-45B1-ABAF-E105D8980E4E}">
  <sheetPr>
    <tabColor rgb="FFFFFF00"/>
    <pageSetUpPr fitToPage="1"/>
  </sheetPr>
  <dimension ref="A1:V1184"/>
  <sheetViews>
    <sheetView tabSelected="1" zoomScaleNormal="100" workbookViewId="0">
      <selection activeCell="M2" sqref="M2"/>
    </sheetView>
  </sheetViews>
  <sheetFormatPr defaultRowHeight="15" x14ac:dyDescent="0.25"/>
  <cols>
    <col min="1" max="1" width="10.5703125" customWidth="1"/>
    <col min="2" max="2" width="21.42578125" customWidth="1"/>
    <col min="3" max="3" width="30.42578125" customWidth="1"/>
    <col min="4" max="4" width="37.140625" customWidth="1"/>
    <col min="5" max="5" width="19.85546875" bestFit="1" customWidth="1"/>
    <col min="6" max="6" width="52.42578125" customWidth="1"/>
    <col min="7" max="7" width="18.7109375" customWidth="1"/>
    <col min="8" max="8" width="9.7109375" customWidth="1"/>
    <col min="9" max="9" width="14" customWidth="1"/>
    <col min="10" max="10" width="34.5703125" customWidth="1"/>
    <col min="11" max="11" width="16.42578125" customWidth="1"/>
    <col min="12" max="13" width="20.7109375" customWidth="1"/>
    <col min="14" max="14" width="20.85546875" style="289" customWidth="1"/>
    <col min="15" max="15" width="40.140625" style="289" customWidth="1"/>
    <col min="16" max="16" width="214.42578125" bestFit="1" customWidth="1"/>
    <col min="18" max="18" width="22.28515625" customWidth="1"/>
    <col min="19" max="19" width="20.5703125" style="273" customWidth="1"/>
    <col min="20" max="20" width="25.42578125" customWidth="1"/>
    <col min="22" max="22" width="15.42578125" customWidth="1"/>
  </cols>
  <sheetData>
    <row r="1" spans="1:20" x14ac:dyDescent="0.25">
      <c r="L1" s="280"/>
      <c r="M1" s="281">
        <f>304000000-M2</f>
        <v>0</v>
      </c>
      <c r="T1" s="290"/>
    </row>
    <row r="2" spans="1:20" x14ac:dyDescent="0.25">
      <c r="A2" s="30"/>
      <c r="B2" s="30"/>
      <c r="C2" s="30"/>
      <c r="D2" s="30"/>
      <c r="E2" s="30"/>
      <c r="F2" s="30"/>
      <c r="G2" s="291"/>
      <c r="H2" s="291"/>
      <c r="I2" s="292"/>
      <c r="J2" s="292"/>
      <c r="K2" s="292"/>
      <c r="L2" s="38">
        <f>SUBTOTAL(9,L4:L1048576)</f>
        <v>302228853.94000006</v>
      </c>
      <c r="M2" s="294">
        <f>SUBTOTAL(9,M4:M1048576)</f>
        <v>304000000</v>
      </c>
      <c r="N2" s="291"/>
      <c r="O2" s="293"/>
      <c r="P2" s="30"/>
      <c r="R2" s="294"/>
      <c r="S2" s="295"/>
      <c r="T2" s="38"/>
    </row>
    <row r="3" spans="1:20" ht="46.5" customHeight="1" x14ac:dyDescent="0.25">
      <c r="A3" s="296" t="s">
        <v>492</v>
      </c>
      <c r="B3" s="297" t="s">
        <v>490</v>
      </c>
      <c r="C3" s="297" t="s">
        <v>491</v>
      </c>
      <c r="D3" s="297" t="s">
        <v>493</v>
      </c>
      <c r="E3" s="297" t="s">
        <v>562</v>
      </c>
      <c r="F3" s="297" t="s">
        <v>601</v>
      </c>
      <c r="G3" s="297" t="s">
        <v>588</v>
      </c>
      <c r="H3" s="297" t="s">
        <v>1008</v>
      </c>
      <c r="I3" s="297" t="s">
        <v>556</v>
      </c>
      <c r="J3" s="297" t="s">
        <v>557</v>
      </c>
      <c r="K3" s="297" t="s">
        <v>576</v>
      </c>
      <c r="L3" s="298" t="s">
        <v>586</v>
      </c>
      <c r="M3" s="299" t="s">
        <v>595</v>
      </c>
      <c r="N3" s="297" t="s">
        <v>496</v>
      </c>
      <c r="O3" s="297" t="s">
        <v>497</v>
      </c>
      <c r="P3" s="300" t="s">
        <v>594</v>
      </c>
      <c r="R3" s="301"/>
      <c r="S3" s="302"/>
      <c r="T3" s="303"/>
    </row>
    <row r="4" spans="1:20" x14ac:dyDescent="0.25">
      <c r="A4" s="270" t="s">
        <v>411</v>
      </c>
      <c r="B4" s="31" t="s">
        <v>410</v>
      </c>
      <c r="C4" s="31" t="s">
        <v>412</v>
      </c>
      <c r="D4" s="31" t="s">
        <v>414</v>
      </c>
      <c r="E4" s="31" t="s">
        <v>129</v>
      </c>
      <c r="F4" s="31" t="s">
        <v>374</v>
      </c>
      <c r="G4" s="33" t="s">
        <v>583</v>
      </c>
      <c r="H4" s="33" t="s">
        <v>603</v>
      </c>
      <c r="I4" s="36" t="s">
        <v>552</v>
      </c>
      <c r="J4" s="36" t="s">
        <v>591</v>
      </c>
      <c r="K4" s="36" t="s">
        <v>1016</v>
      </c>
      <c r="L4" s="37">
        <f>341595.38+0</f>
        <v>341595.38</v>
      </c>
      <c r="M4" s="271">
        <v>341595</v>
      </c>
      <c r="N4" s="34" t="s">
        <v>899</v>
      </c>
      <c r="O4" s="34" t="s">
        <v>1201</v>
      </c>
      <c r="P4" s="272" t="s">
        <v>1200</v>
      </c>
    </row>
    <row r="5" spans="1:20" x14ac:dyDescent="0.25">
      <c r="A5" s="270" t="s">
        <v>411</v>
      </c>
      <c r="B5" s="31" t="s">
        <v>410</v>
      </c>
      <c r="C5" s="31" t="s">
        <v>412</v>
      </c>
      <c r="D5" s="31" t="s">
        <v>414</v>
      </c>
      <c r="E5" s="31" t="s">
        <v>129</v>
      </c>
      <c r="F5" s="31" t="s">
        <v>374</v>
      </c>
      <c r="G5" s="33" t="s">
        <v>583</v>
      </c>
      <c r="H5" s="33" t="s">
        <v>603</v>
      </c>
      <c r="I5" s="36" t="s">
        <v>552</v>
      </c>
      <c r="J5" s="36" t="s">
        <v>580</v>
      </c>
      <c r="K5" s="36" t="s">
        <v>892</v>
      </c>
      <c r="L5" s="37">
        <f>5758065.84+0</f>
        <v>5758065.8399999999</v>
      </c>
      <c r="M5" s="271">
        <v>5758065</v>
      </c>
      <c r="N5" s="34" t="s">
        <v>899</v>
      </c>
      <c r="O5" s="34" t="s">
        <v>1201</v>
      </c>
      <c r="P5" s="272" t="s">
        <v>1200</v>
      </c>
    </row>
    <row r="6" spans="1:20" x14ac:dyDescent="0.25">
      <c r="A6" s="270" t="s">
        <v>411</v>
      </c>
      <c r="B6" s="31" t="s">
        <v>410</v>
      </c>
      <c r="C6" s="31" t="s">
        <v>412</v>
      </c>
      <c r="D6" s="31" t="s">
        <v>414</v>
      </c>
      <c r="E6" s="31" t="s">
        <v>129</v>
      </c>
      <c r="F6" s="31" t="s">
        <v>374</v>
      </c>
      <c r="G6" s="33" t="s">
        <v>583</v>
      </c>
      <c r="H6" s="33" t="s">
        <v>603</v>
      </c>
      <c r="I6" s="36" t="s">
        <v>553</v>
      </c>
      <c r="J6" s="36" t="s">
        <v>581</v>
      </c>
      <c r="K6" s="36" t="s">
        <v>893</v>
      </c>
      <c r="L6" s="37">
        <f>2313006.32+0</f>
        <v>2313006.3199999998</v>
      </c>
      <c r="M6" s="271">
        <v>2313010</v>
      </c>
      <c r="N6" s="34" t="s">
        <v>899</v>
      </c>
      <c r="O6" s="34" t="s">
        <v>1201</v>
      </c>
      <c r="P6" s="272" t="s">
        <v>1200</v>
      </c>
    </row>
    <row r="7" spans="1:20" x14ac:dyDescent="0.25">
      <c r="A7" s="270" t="s">
        <v>411</v>
      </c>
      <c r="B7" s="31" t="s">
        <v>410</v>
      </c>
      <c r="C7" s="31" t="s">
        <v>412</v>
      </c>
      <c r="D7" s="31" t="s">
        <v>414</v>
      </c>
      <c r="E7" s="31" t="s">
        <v>129</v>
      </c>
      <c r="F7" s="31" t="s">
        <v>374</v>
      </c>
      <c r="G7" s="33" t="s">
        <v>583</v>
      </c>
      <c r="H7" s="33" t="s">
        <v>603</v>
      </c>
      <c r="I7" s="36" t="s">
        <v>553</v>
      </c>
      <c r="J7" s="36" t="s">
        <v>889</v>
      </c>
      <c r="K7" s="36" t="s">
        <v>894</v>
      </c>
      <c r="L7" s="37">
        <f>1296994.77+23675.1</f>
        <v>1320669.8700000001</v>
      </c>
      <c r="M7" s="271">
        <v>1320670</v>
      </c>
      <c r="N7" s="34" t="s">
        <v>899</v>
      </c>
      <c r="O7" s="34" t="s">
        <v>1201</v>
      </c>
      <c r="P7" s="272" t="s">
        <v>1200</v>
      </c>
    </row>
    <row r="8" spans="1:20" x14ac:dyDescent="0.25">
      <c r="A8" s="270" t="s">
        <v>411</v>
      </c>
      <c r="B8" s="31" t="s">
        <v>410</v>
      </c>
      <c r="C8" s="31" t="s">
        <v>412</v>
      </c>
      <c r="D8" s="31" t="s">
        <v>414</v>
      </c>
      <c r="E8" s="31" t="s">
        <v>129</v>
      </c>
      <c r="F8" s="31" t="s">
        <v>374</v>
      </c>
      <c r="G8" s="33" t="s">
        <v>583</v>
      </c>
      <c r="H8" s="33" t="s">
        <v>603</v>
      </c>
      <c r="I8" s="36" t="s">
        <v>553</v>
      </c>
      <c r="J8" s="36" t="s">
        <v>582</v>
      </c>
      <c r="K8" s="36" t="s">
        <v>896</v>
      </c>
      <c r="L8" s="37">
        <f>6554309.88+170717.03</f>
        <v>6725026.9100000001</v>
      </c>
      <c r="M8" s="271">
        <v>6725030</v>
      </c>
      <c r="N8" s="34" t="s">
        <v>899</v>
      </c>
      <c r="O8" s="34" t="s">
        <v>1201</v>
      </c>
      <c r="P8" s="272" t="s">
        <v>1200</v>
      </c>
    </row>
    <row r="9" spans="1:20" x14ac:dyDescent="0.25">
      <c r="A9" s="270" t="s">
        <v>411</v>
      </c>
      <c r="B9" s="31" t="s">
        <v>410</v>
      </c>
      <c r="C9" s="31" t="s">
        <v>412</v>
      </c>
      <c r="D9" s="31" t="s">
        <v>414</v>
      </c>
      <c r="E9" s="31" t="s">
        <v>129</v>
      </c>
      <c r="F9" s="31" t="s">
        <v>374</v>
      </c>
      <c r="G9" s="33" t="s">
        <v>583</v>
      </c>
      <c r="H9" s="33" t="s">
        <v>603</v>
      </c>
      <c r="I9" s="36" t="s">
        <v>553</v>
      </c>
      <c r="J9" s="36" t="s">
        <v>881</v>
      </c>
      <c r="K9" s="36" t="s">
        <v>897</v>
      </c>
      <c r="L9" s="37">
        <f>1502229.88+63085.57</f>
        <v>1565315.45</v>
      </c>
      <c r="M9" s="271">
        <v>1565315</v>
      </c>
      <c r="N9" s="34" t="s">
        <v>899</v>
      </c>
      <c r="O9" s="34" t="s">
        <v>1201</v>
      </c>
      <c r="P9" s="272" t="s">
        <v>1200</v>
      </c>
    </row>
    <row r="10" spans="1:20" x14ac:dyDescent="0.25">
      <c r="A10" s="270" t="s">
        <v>411</v>
      </c>
      <c r="B10" s="31" t="s">
        <v>410</v>
      </c>
      <c r="C10" s="31" t="s">
        <v>412</v>
      </c>
      <c r="D10" s="31" t="s">
        <v>414</v>
      </c>
      <c r="E10" s="31" t="s">
        <v>129</v>
      </c>
      <c r="F10" s="31" t="s">
        <v>374</v>
      </c>
      <c r="G10" s="33" t="s">
        <v>583</v>
      </c>
      <c r="H10" s="33" t="s">
        <v>603</v>
      </c>
      <c r="I10" s="36" t="s">
        <v>555</v>
      </c>
      <c r="J10" s="36" t="s">
        <v>579</v>
      </c>
      <c r="K10" s="36" t="s">
        <v>891</v>
      </c>
      <c r="L10" s="37">
        <f>5918494.58+204167.75</f>
        <v>6122662.3300000001</v>
      </c>
      <c r="M10" s="271">
        <v>6122665</v>
      </c>
      <c r="N10" s="34" t="s">
        <v>899</v>
      </c>
      <c r="O10" s="34" t="s">
        <v>1201</v>
      </c>
      <c r="P10" s="272" t="s">
        <v>1200</v>
      </c>
    </row>
    <row r="11" spans="1:20" x14ac:dyDescent="0.25">
      <c r="A11" s="270" t="s">
        <v>411</v>
      </c>
      <c r="B11" s="31" t="s">
        <v>410</v>
      </c>
      <c r="C11" s="31" t="s">
        <v>412</v>
      </c>
      <c r="D11" s="31" t="s">
        <v>414</v>
      </c>
      <c r="E11" s="31" t="s">
        <v>129</v>
      </c>
      <c r="F11" s="31" t="s">
        <v>374</v>
      </c>
      <c r="G11" s="33" t="s">
        <v>583</v>
      </c>
      <c r="H11" s="33" t="s">
        <v>603</v>
      </c>
      <c r="I11" s="36" t="s">
        <v>555</v>
      </c>
      <c r="J11" s="36" t="s">
        <v>577</v>
      </c>
      <c r="K11" s="36" t="s">
        <v>1197</v>
      </c>
      <c r="L11" s="37">
        <f>972624.02+30613.92</f>
        <v>1003237.9400000001</v>
      </c>
      <c r="M11" s="271">
        <v>1003240</v>
      </c>
      <c r="N11" s="34" t="s">
        <v>899</v>
      </c>
      <c r="O11" s="34" t="s">
        <v>1201</v>
      </c>
      <c r="P11" s="272" t="s">
        <v>1200</v>
      </c>
    </row>
    <row r="12" spans="1:20" x14ac:dyDescent="0.25">
      <c r="A12" s="270" t="s">
        <v>411</v>
      </c>
      <c r="B12" s="31" t="s">
        <v>410</v>
      </c>
      <c r="C12" s="31" t="s">
        <v>412</v>
      </c>
      <c r="D12" s="31" t="s">
        <v>414</v>
      </c>
      <c r="E12" s="31" t="s">
        <v>129</v>
      </c>
      <c r="F12" s="31" t="s">
        <v>374</v>
      </c>
      <c r="G12" s="33" t="s">
        <v>583</v>
      </c>
      <c r="H12" s="33" t="s">
        <v>603</v>
      </c>
      <c r="I12" s="36" t="s">
        <v>555</v>
      </c>
      <c r="J12" s="36" t="s">
        <v>578</v>
      </c>
      <c r="K12" s="36" t="s">
        <v>890</v>
      </c>
      <c r="L12" s="37">
        <f>424445.32+0</f>
        <v>424445.32</v>
      </c>
      <c r="M12" s="271">
        <v>424450</v>
      </c>
      <c r="N12" s="34" t="s">
        <v>899</v>
      </c>
      <c r="O12" s="34" t="s">
        <v>1201</v>
      </c>
      <c r="P12" s="272" t="s">
        <v>1200</v>
      </c>
    </row>
    <row r="13" spans="1:20" x14ac:dyDescent="0.25">
      <c r="A13" s="270" t="s">
        <v>411</v>
      </c>
      <c r="B13" s="31" t="s">
        <v>410</v>
      </c>
      <c r="C13" s="31" t="s">
        <v>412</v>
      </c>
      <c r="D13" s="31" t="s">
        <v>414</v>
      </c>
      <c r="E13" s="31" t="s">
        <v>129</v>
      </c>
      <c r="F13" s="31" t="s">
        <v>374</v>
      </c>
      <c r="G13" s="33" t="s">
        <v>583</v>
      </c>
      <c r="H13" s="33" t="s">
        <v>603</v>
      </c>
      <c r="I13" s="36" t="s">
        <v>555</v>
      </c>
      <c r="J13" s="36" t="s">
        <v>875</v>
      </c>
      <c r="K13" s="36" t="s">
        <v>895</v>
      </c>
      <c r="L13" s="37">
        <f>3390956.15+23052.95</f>
        <v>3414009.1</v>
      </c>
      <c r="M13" s="271">
        <v>3414010</v>
      </c>
      <c r="N13" s="34" t="s">
        <v>899</v>
      </c>
      <c r="O13" s="34" t="s">
        <v>1201</v>
      </c>
      <c r="P13" s="272" t="s">
        <v>1200</v>
      </c>
    </row>
    <row r="14" spans="1:20" x14ac:dyDescent="0.25">
      <c r="A14" s="270" t="s">
        <v>411</v>
      </c>
      <c r="B14" s="31" t="s">
        <v>410</v>
      </c>
      <c r="C14" s="31" t="s">
        <v>412</v>
      </c>
      <c r="D14" s="31" t="s">
        <v>414</v>
      </c>
      <c r="E14" s="31" t="s">
        <v>130</v>
      </c>
      <c r="F14" s="31" t="s">
        <v>402</v>
      </c>
      <c r="G14" s="33" t="s">
        <v>583</v>
      </c>
      <c r="H14" s="33" t="s">
        <v>603</v>
      </c>
      <c r="I14" s="36" t="s">
        <v>552</v>
      </c>
      <c r="J14" s="36" t="s">
        <v>591</v>
      </c>
      <c r="K14" s="36" t="s">
        <v>1016</v>
      </c>
      <c r="L14" s="37">
        <v>4962.24</v>
      </c>
      <c r="M14" s="271">
        <v>4965</v>
      </c>
      <c r="N14" s="34" t="s">
        <v>899</v>
      </c>
      <c r="O14" s="34" t="s">
        <v>1198</v>
      </c>
      <c r="P14" s="272" t="s">
        <v>1202</v>
      </c>
    </row>
    <row r="15" spans="1:20" x14ac:dyDescent="0.25">
      <c r="A15" s="270" t="s">
        <v>411</v>
      </c>
      <c r="B15" s="31" t="s">
        <v>410</v>
      </c>
      <c r="C15" s="31" t="s">
        <v>412</v>
      </c>
      <c r="D15" s="31" t="s">
        <v>414</v>
      </c>
      <c r="E15" s="31" t="s">
        <v>130</v>
      </c>
      <c r="F15" s="31" t="s">
        <v>402</v>
      </c>
      <c r="G15" s="33" t="s">
        <v>583</v>
      </c>
      <c r="H15" s="33" t="s">
        <v>603</v>
      </c>
      <c r="I15" s="36" t="s">
        <v>552</v>
      </c>
      <c r="J15" s="36" t="s">
        <v>580</v>
      </c>
      <c r="K15" s="36" t="s">
        <v>892</v>
      </c>
      <c r="L15" s="37">
        <v>136272.07999999999</v>
      </c>
      <c r="M15" s="271">
        <v>136275</v>
      </c>
      <c r="N15" s="34" t="s">
        <v>899</v>
      </c>
      <c r="O15" s="34" t="s">
        <v>1198</v>
      </c>
      <c r="P15" s="272" t="s">
        <v>1202</v>
      </c>
    </row>
    <row r="16" spans="1:20" x14ac:dyDescent="0.25">
      <c r="A16" s="270" t="s">
        <v>411</v>
      </c>
      <c r="B16" s="31" t="s">
        <v>410</v>
      </c>
      <c r="C16" s="31" t="s">
        <v>412</v>
      </c>
      <c r="D16" s="31" t="s">
        <v>414</v>
      </c>
      <c r="E16" s="31" t="s">
        <v>130</v>
      </c>
      <c r="F16" s="31" t="s">
        <v>402</v>
      </c>
      <c r="G16" s="33" t="s">
        <v>583</v>
      </c>
      <c r="H16" s="33" t="s">
        <v>603</v>
      </c>
      <c r="I16" s="36" t="s">
        <v>553</v>
      </c>
      <c r="J16" s="36" t="s">
        <v>581</v>
      </c>
      <c r="K16" s="36" t="s">
        <v>893</v>
      </c>
      <c r="L16" s="37">
        <v>34072.07</v>
      </c>
      <c r="M16" s="271">
        <v>34075</v>
      </c>
      <c r="N16" s="34" t="s">
        <v>899</v>
      </c>
      <c r="O16" s="34" t="s">
        <v>1198</v>
      </c>
      <c r="P16" s="272" t="s">
        <v>1202</v>
      </c>
    </row>
    <row r="17" spans="1:16" x14ac:dyDescent="0.25">
      <c r="A17" s="270" t="s">
        <v>411</v>
      </c>
      <c r="B17" s="31" t="s">
        <v>410</v>
      </c>
      <c r="C17" s="31" t="s">
        <v>412</v>
      </c>
      <c r="D17" s="31" t="s">
        <v>414</v>
      </c>
      <c r="E17" s="31" t="s">
        <v>130</v>
      </c>
      <c r="F17" s="31" t="s">
        <v>402</v>
      </c>
      <c r="G17" s="33" t="s">
        <v>583</v>
      </c>
      <c r="H17" s="33" t="s">
        <v>603</v>
      </c>
      <c r="I17" s="36" t="s">
        <v>553</v>
      </c>
      <c r="J17" s="36" t="s">
        <v>889</v>
      </c>
      <c r="K17" s="36" t="s">
        <v>894</v>
      </c>
      <c r="L17" s="37">
        <v>71228.72</v>
      </c>
      <c r="M17" s="271">
        <v>71230</v>
      </c>
      <c r="N17" s="34" t="s">
        <v>899</v>
      </c>
      <c r="O17" s="34" t="s">
        <v>1198</v>
      </c>
      <c r="P17" s="272" t="s">
        <v>1202</v>
      </c>
    </row>
    <row r="18" spans="1:16" x14ac:dyDescent="0.25">
      <c r="A18" s="270" t="s">
        <v>411</v>
      </c>
      <c r="B18" s="31" t="s">
        <v>410</v>
      </c>
      <c r="C18" s="31" t="s">
        <v>412</v>
      </c>
      <c r="D18" s="31" t="s">
        <v>414</v>
      </c>
      <c r="E18" s="31" t="s">
        <v>130</v>
      </c>
      <c r="F18" s="31" t="s">
        <v>402</v>
      </c>
      <c r="G18" s="33" t="s">
        <v>583</v>
      </c>
      <c r="H18" s="33" t="s">
        <v>603</v>
      </c>
      <c r="I18" s="36" t="s">
        <v>553</v>
      </c>
      <c r="J18" s="36" t="s">
        <v>582</v>
      </c>
      <c r="K18" s="36" t="s">
        <v>896</v>
      </c>
      <c r="L18" s="37">
        <v>263119.93</v>
      </c>
      <c r="M18" s="271">
        <v>263125</v>
      </c>
      <c r="N18" s="34" t="s">
        <v>899</v>
      </c>
      <c r="O18" s="34" t="s">
        <v>1198</v>
      </c>
      <c r="P18" s="272" t="s">
        <v>1202</v>
      </c>
    </row>
    <row r="19" spans="1:16" x14ac:dyDescent="0.25">
      <c r="A19" s="270" t="s">
        <v>411</v>
      </c>
      <c r="B19" s="31" t="s">
        <v>410</v>
      </c>
      <c r="C19" s="31" t="s">
        <v>412</v>
      </c>
      <c r="D19" s="31" t="s">
        <v>414</v>
      </c>
      <c r="E19" s="31" t="s">
        <v>130</v>
      </c>
      <c r="F19" s="31" t="s">
        <v>402</v>
      </c>
      <c r="G19" s="33" t="s">
        <v>583</v>
      </c>
      <c r="H19" s="33" t="s">
        <v>603</v>
      </c>
      <c r="I19" s="36" t="s">
        <v>553</v>
      </c>
      <c r="J19" s="36" t="s">
        <v>881</v>
      </c>
      <c r="K19" s="36" t="s">
        <v>897</v>
      </c>
      <c r="L19" s="37">
        <v>16098.74</v>
      </c>
      <c r="M19" s="271">
        <v>16100</v>
      </c>
      <c r="N19" s="34" t="s">
        <v>899</v>
      </c>
      <c r="O19" s="34" t="s">
        <v>1198</v>
      </c>
      <c r="P19" s="272" t="s">
        <v>1202</v>
      </c>
    </row>
    <row r="20" spans="1:16" x14ac:dyDescent="0.25">
      <c r="A20" s="270" t="s">
        <v>411</v>
      </c>
      <c r="B20" s="31" t="s">
        <v>410</v>
      </c>
      <c r="C20" s="31" t="s">
        <v>412</v>
      </c>
      <c r="D20" s="31" t="s">
        <v>414</v>
      </c>
      <c r="E20" s="31" t="s">
        <v>130</v>
      </c>
      <c r="F20" s="31" t="s">
        <v>402</v>
      </c>
      <c r="G20" s="33" t="s">
        <v>583</v>
      </c>
      <c r="H20" s="33" t="s">
        <v>603</v>
      </c>
      <c r="I20" s="36" t="s">
        <v>555</v>
      </c>
      <c r="J20" s="36" t="s">
        <v>579</v>
      </c>
      <c r="K20" s="36" t="s">
        <v>891</v>
      </c>
      <c r="L20" s="37">
        <v>97237.22</v>
      </c>
      <c r="M20" s="271">
        <v>97240</v>
      </c>
      <c r="N20" s="34" t="s">
        <v>899</v>
      </c>
      <c r="O20" s="34" t="s">
        <v>1198</v>
      </c>
      <c r="P20" s="272" t="s">
        <v>1202</v>
      </c>
    </row>
    <row r="21" spans="1:16" x14ac:dyDescent="0.25">
      <c r="A21" s="270" t="s">
        <v>411</v>
      </c>
      <c r="B21" s="31" t="s">
        <v>410</v>
      </c>
      <c r="C21" s="31" t="s">
        <v>412</v>
      </c>
      <c r="D21" s="31" t="s">
        <v>414</v>
      </c>
      <c r="E21" s="31" t="s">
        <v>130</v>
      </c>
      <c r="F21" s="31" t="s">
        <v>402</v>
      </c>
      <c r="G21" s="33" t="s">
        <v>583</v>
      </c>
      <c r="H21" s="33" t="s">
        <v>603</v>
      </c>
      <c r="I21" s="36" t="s">
        <v>555</v>
      </c>
      <c r="J21" s="36" t="s">
        <v>577</v>
      </c>
      <c r="K21" s="36" t="s">
        <v>1197</v>
      </c>
      <c r="L21" s="37">
        <v>13699.92</v>
      </c>
      <c r="M21" s="271">
        <v>13705</v>
      </c>
      <c r="N21" s="34" t="s">
        <v>899</v>
      </c>
      <c r="O21" s="34" t="s">
        <v>1198</v>
      </c>
      <c r="P21" s="272" t="s">
        <v>1202</v>
      </c>
    </row>
    <row r="22" spans="1:16" x14ac:dyDescent="0.25">
      <c r="A22" s="270" t="s">
        <v>411</v>
      </c>
      <c r="B22" s="31" t="s">
        <v>410</v>
      </c>
      <c r="C22" s="31" t="s">
        <v>412</v>
      </c>
      <c r="D22" s="31" t="s">
        <v>414</v>
      </c>
      <c r="E22" s="31" t="s">
        <v>130</v>
      </c>
      <c r="F22" s="31" t="s">
        <v>402</v>
      </c>
      <c r="G22" s="33" t="s">
        <v>583</v>
      </c>
      <c r="H22" s="33" t="s">
        <v>603</v>
      </c>
      <c r="I22" s="36" t="s">
        <v>555</v>
      </c>
      <c r="J22" s="36" t="s">
        <v>578</v>
      </c>
      <c r="K22" s="36" t="s">
        <v>890</v>
      </c>
      <c r="L22" s="37">
        <v>4023.81</v>
      </c>
      <c r="M22" s="271">
        <v>4030</v>
      </c>
      <c r="N22" s="34" t="s">
        <v>899</v>
      </c>
      <c r="O22" s="34" t="s">
        <v>1198</v>
      </c>
      <c r="P22" s="272" t="s">
        <v>1202</v>
      </c>
    </row>
    <row r="23" spans="1:16" x14ac:dyDescent="0.25">
      <c r="A23" s="270" t="s">
        <v>411</v>
      </c>
      <c r="B23" s="31" t="s">
        <v>410</v>
      </c>
      <c r="C23" s="31" t="s">
        <v>412</v>
      </c>
      <c r="D23" s="31" t="s">
        <v>414</v>
      </c>
      <c r="E23" s="31" t="s">
        <v>130</v>
      </c>
      <c r="F23" s="31" t="s">
        <v>402</v>
      </c>
      <c r="G23" s="33" t="s">
        <v>583</v>
      </c>
      <c r="H23" s="33" t="s">
        <v>603</v>
      </c>
      <c r="I23" s="36" t="s">
        <v>555</v>
      </c>
      <c r="J23" s="36" t="s">
        <v>875</v>
      </c>
      <c r="K23" s="36" t="s">
        <v>895</v>
      </c>
      <c r="L23" s="37">
        <v>150703.5</v>
      </c>
      <c r="M23" s="271">
        <v>150705</v>
      </c>
      <c r="N23" s="34" t="s">
        <v>899</v>
      </c>
      <c r="O23" s="34" t="s">
        <v>1198</v>
      </c>
      <c r="P23" s="272" t="s">
        <v>1202</v>
      </c>
    </row>
    <row r="24" spans="1:16" x14ac:dyDescent="0.25">
      <c r="A24" s="270" t="s">
        <v>411</v>
      </c>
      <c r="B24" s="31" t="s">
        <v>410</v>
      </c>
      <c r="C24" s="31" t="s">
        <v>412</v>
      </c>
      <c r="D24" s="31" t="s">
        <v>414</v>
      </c>
      <c r="E24" s="31" t="s">
        <v>131</v>
      </c>
      <c r="F24" s="31" t="s">
        <v>415</v>
      </c>
      <c r="G24" s="33" t="s">
        <v>583</v>
      </c>
      <c r="H24" s="33" t="s">
        <v>603</v>
      </c>
      <c r="I24" s="36" t="s">
        <v>552</v>
      </c>
      <c r="J24" s="36" t="s">
        <v>591</v>
      </c>
      <c r="K24" s="36" t="s">
        <v>1016</v>
      </c>
      <c r="L24" s="37">
        <v>0</v>
      </c>
      <c r="M24" s="271">
        <v>0</v>
      </c>
      <c r="N24" s="34" t="s">
        <v>899</v>
      </c>
      <c r="O24" s="34" t="s">
        <v>1201</v>
      </c>
      <c r="P24" s="272" t="s">
        <v>1203</v>
      </c>
    </row>
    <row r="25" spans="1:16" x14ac:dyDescent="0.25">
      <c r="A25" s="270" t="s">
        <v>411</v>
      </c>
      <c r="B25" s="31" t="s">
        <v>410</v>
      </c>
      <c r="C25" s="31" t="s">
        <v>412</v>
      </c>
      <c r="D25" s="31" t="s">
        <v>414</v>
      </c>
      <c r="E25" s="31" t="s">
        <v>131</v>
      </c>
      <c r="F25" s="31" t="s">
        <v>415</v>
      </c>
      <c r="G25" s="33" t="s">
        <v>583</v>
      </c>
      <c r="H25" s="33" t="s">
        <v>603</v>
      </c>
      <c r="I25" s="36" t="s">
        <v>552</v>
      </c>
      <c r="J25" s="36" t="s">
        <v>580</v>
      </c>
      <c r="K25" s="36" t="s">
        <v>892</v>
      </c>
      <c r="L25" s="37">
        <v>781294.17</v>
      </c>
      <c r="M25" s="271">
        <v>781295</v>
      </c>
      <c r="N25" s="34" t="s">
        <v>899</v>
      </c>
      <c r="O25" s="34" t="s">
        <v>1201</v>
      </c>
      <c r="P25" s="272" t="s">
        <v>1203</v>
      </c>
    </row>
    <row r="26" spans="1:16" x14ac:dyDescent="0.25">
      <c r="A26" s="270" t="s">
        <v>411</v>
      </c>
      <c r="B26" s="31" t="s">
        <v>410</v>
      </c>
      <c r="C26" s="31" t="s">
        <v>412</v>
      </c>
      <c r="D26" s="31" t="s">
        <v>414</v>
      </c>
      <c r="E26" s="31" t="s">
        <v>131</v>
      </c>
      <c r="F26" s="31" t="s">
        <v>415</v>
      </c>
      <c r="G26" s="33" t="s">
        <v>583</v>
      </c>
      <c r="H26" s="33" t="s">
        <v>603</v>
      </c>
      <c r="I26" s="36" t="s">
        <v>553</v>
      </c>
      <c r="J26" s="36" t="s">
        <v>581</v>
      </c>
      <c r="K26" s="36" t="s">
        <v>893</v>
      </c>
      <c r="L26" s="37">
        <v>370020.69</v>
      </c>
      <c r="M26" s="271">
        <v>370030</v>
      </c>
      <c r="N26" s="34" t="s">
        <v>899</v>
      </c>
      <c r="O26" s="34" t="s">
        <v>1201</v>
      </c>
      <c r="P26" s="272" t="s">
        <v>1203</v>
      </c>
    </row>
    <row r="27" spans="1:16" x14ac:dyDescent="0.25">
      <c r="A27" s="270" t="s">
        <v>411</v>
      </c>
      <c r="B27" s="31" t="s">
        <v>410</v>
      </c>
      <c r="C27" s="31" t="s">
        <v>412</v>
      </c>
      <c r="D27" s="31" t="s">
        <v>414</v>
      </c>
      <c r="E27" s="31" t="s">
        <v>131</v>
      </c>
      <c r="F27" s="31" t="s">
        <v>415</v>
      </c>
      <c r="G27" s="33" t="s">
        <v>583</v>
      </c>
      <c r="H27" s="33" t="s">
        <v>603</v>
      </c>
      <c r="I27" s="36" t="s">
        <v>553</v>
      </c>
      <c r="J27" s="36" t="s">
        <v>889</v>
      </c>
      <c r="K27" s="36" t="s">
        <v>894</v>
      </c>
      <c r="L27" s="37">
        <v>192674.21</v>
      </c>
      <c r="M27" s="271">
        <v>192680</v>
      </c>
      <c r="N27" s="34" t="s">
        <v>899</v>
      </c>
      <c r="O27" s="34" t="s">
        <v>1201</v>
      </c>
      <c r="P27" s="272" t="s">
        <v>1203</v>
      </c>
    </row>
    <row r="28" spans="1:16" x14ac:dyDescent="0.25">
      <c r="A28" s="270" t="s">
        <v>411</v>
      </c>
      <c r="B28" s="31" t="s">
        <v>410</v>
      </c>
      <c r="C28" s="31" t="s">
        <v>412</v>
      </c>
      <c r="D28" s="31" t="s">
        <v>414</v>
      </c>
      <c r="E28" s="31" t="s">
        <v>131</v>
      </c>
      <c r="F28" s="31" t="s">
        <v>415</v>
      </c>
      <c r="G28" s="33" t="s">
        <v>583</v>
      </c>
      <c r="H28" s="33" t="s">
        <v>603</v>
      </c>
      <c r="I28" s="36" t="s">
        <v>553</v>
      </c>
      <c r="J28" s="36" t="s">
        <v>582</v>
      </c>
      <c r="K28" s="36" t="s">
        <v>896</v>
      </c>
      <c r="L28" s="37">
        <v>1511902.82</v>
      </c>
      <c r="M28" s="271">
        <v>1511905</v>
      </c>
      <c r="N28" s="34" t="s">
        <v>899</v>
      </c>
      <c r="O28" s="34" t="s">
        <v>1201</v>
      </c>
      <c r="P28" s="272" t="s">
        <v>1203</v>
      </c>
    </row>
    <row r="29" spans="1:16" x14ac:dyDescent="0.25">
      <c r="A29" s="270" t="s">
        <v>411</v>
      </c>
      <c r="B29" s="31" t="s">
        <v>410</v>
      </c>
      <c r="C29" s="31" t="s">
        <v>412</v>
      </c>
      <c r="D29" s="31" t="s">
        <v>414</v>
      </c>
      <c r="E29" s="31" t="s">
        <v>131</v>
      </c>
      <c r="F29" s="31" t="s">
        <v>415</v>
      </c>
      <c r="G29" s="33" t="s">
        <v>583</v>
      </c>
      <c r="H29" s="33" t="s">
        <v>603</v>
      </c>
      <c r="I29" s="36" t="s">
        <v>553</v>
      </c>
      <c r="J29" s="36" t="s">
        <v>881</v>
      </c>
      <c r="K29" s="36" t="s">
        <v>897</v>
      </c>
      <c r="L29" s="37">
        <v>284195.17</v>
      </c>
      <c r="M29" s="271">
        <v>284200</v>
      </c>
      <c r="N29" s="34" t="s">
        <v>899</v>
      </c>
      <c r="O29" s="34" t="s">
        <v>1201</v>
      </c>
      <c r="P29" s="272" t="s">
        <v>1203</v>
      </c>
    </row>
    <row r="30" spans="1:16" x14ac:dyDescent="0.25">
      <c r="A30" s="270" t="s">
        <v>411</v>
      </c>
      <c r="B30" s="31" t="s">
        <v>410</v>
      </c>
      <c r="C30" s="31" t="s">
        <v>412</v>
      </c>
      <c r="D30" s="31" t="s">
        <v>414</v>
      </c>
      <c r="E30" s="31" t="s">
        <v>131</v>
      </c>
      <c r="F30" s="31" t="s">
        <v>415</v>
      </c>
      <c r="G30" s="33" t="s">
        <v>583</v>
      </c>
      <c r="H30" s="33" t="s">
        <v>603</v>
      </c>
      <c r="I30" s="36" t="s">
        <v>555</v>
      </c>
      <c r="J30" s="36" t="s">
        <v>579</v>
      </c>
      <c r="K30" s="36" t="s">
        <v>891</v>
      </c>
      <c r="L30" s="37">
        <v>571771.84</v>
      </c>
      <c r="M30" s="271">
        <v>571775</v>
      </c>
      <c r="N30" s="34" t="s">
        <v>899</v>
      </c>
      <c r="O30" s="34" t="s">
        <v>1201</v>
      </c>
      <c r="P30" s="272" t="s">
        <v>1203</v>
      </c>
    </row>
    <row r="31" spans="1:16" x14ac:dyDescent="0.25">
      <c r="A31" s="270" t="s">
        <v>411</v>
      </c>
      <c r="B31" s="31" t="s">
        <v>410</v>
      </c>
      <c r="C31" s="31" t="s">
        <v>412</v>
      </c>
      <c r="D31" s="31" t="s">
        <v>414</v>
      </c>
      <c r="E31" s="31" t="s">
        <v>131</v>
      </c>
      <c r="F31" s="31" t="s">
        <v>415</v>
      </c>
      <c r="G31" s="33" t="s">
        <v>583</v>
      </c>
      <c r="H31" s="33" t="s">
        <v>603</v>
      </c>
      <c r="I31" s="36" t="s">
        <v>555</v>
      </c>
      <c r="J31" s="36" t="s">
        <v>577</v>
      </c>
      <c r="K31" s="36" t="s">
        <v>1197</v>
      </c>
      <c r="L31" s="37">
        <v>5908216.4699999997</v>
      </c>
      <c r="M31" s="271">
        <v>5908220</v>
      </c>
      <c r="N31" s="34" t="s">
        <v>899</v>
      </c>
      <c r="O31" s="34" t="s">
        <v>1201</v>
      </c>
      <c r="P31" s="272" t="s">
        <v>1203</v>
      </c>
    </row>
    <row r="32" spans="1:16" x14ac:dyDescent="0.25">
      <c r="A32" s="270" t="s">
        <v>411</v>
      </c>
      <c r="B32" s="31" t="s">
        <v>410</v>
      </c>
      <c r="C32" s="31" t="s">
        <v>412</v>
      </c>
      <c r="D32" s="31" t="s">
        <v>414</v>
      </c>
      <c r="E32" s="31" t="s">
        <v>131</v>
      </c>
      <c r="F32" s="31" t="s">
        <v>415</v>
      </c>
      <c r="G32" s="33" t="s">
        <v>583</v>
      </c>
      <c r="H32" s="33" t="s">
        <v>603</v>
      </c>
      <c r="I32" s="36" t="s">
        <v>555</v>
      </c>
      <c r="J32" s="36" t="s">
        <v>578</v>
      </c>
      <c r="K32" s="36" t="s">
        <v>890</v>
      </c>
      <c r="L32" s="37">
        <v>1768844.52</v>
      </c>
      <c r="M32" s="271">
        <v>1768845</v>
      </c>
      <c r="N32" s="34" t="s">
        <v>899</v>
      </c>
      <c r="O32" s="34" t="s">
        <v>1201</v>
      </c>
      <c r="P32" s="272" t="s">
        <v>1203</v>
      </c>
    </row>
    <row r="33" spans="1:16" x14ac:dyDescent="0.25">
      <c r="A33" s="270" t="s">
        <v>411</v>
      </c>
      <c r="B33" s="31" t="s">
        <v>410</v>
      </c>
      <c r="C33" s="31" t="s">
        <v>412</v>
      </c>
      <c r="D33" s="31" t="s">
        <v>414</v>
      </c>
      <c r="E33" s="31" t="s">
        <v>131</v>
      </c>
      <c r="F33" s="31" t="s">
        <v>415</v>
      </c>
      <c r="G33" s="33" t="s">
        <v>583</v>
      </c>
      <c r="H33" s="33" t="s">
        <v>603</v>
      </c>
      <c r="I33" s="36" t="s">
        <v>555</v>
      </c>
      <c r="J33" s="36" t="s">
        <v>875</v>
      </c>
      <c r="K33" s="36" t="s">
        <v>895</v>
      </c>
      <c r="L33" s="37">
        <v>1585545.87</v>
      </c>
      <c r="M33" s="271">
        <v>1585550</v>
      </c>
      <c r="N33" s="34" t="s">
        <v>899</v>
      </c>
      <c r="O33" s="34" t="s">
        <v>1201</v>
      </c>
      <c r="P33" s="272" t="s">
        <v>1203</v>
      </c>
    </row>
    <row r="34" spans="1:16" x14ac:dyDescent="0.25">
      <c r="A34" s="270" t="s">
        <v>411</v>
      </c>
      <c r="B34" s="31" t="s">
        <v>410</v>
      </c>
      <c r="C34" s="31" t="s">
        <v>412</v>
      </c>
      <c r="D34" s="31" t="s">
        <v>414</v>
      </c>
      <c r="E34" s="31" t="s">
        <v>132</v>
      </c>
      <c r="F34" s="31" t="s">
        <v>403</v>
      </c>
      <c r="G34" s="33" t="s">
        <v>583</v>
      </c>
      <c r="H34" s="33" t="s">
        <v>603</v>
      </c>
      <c r="I34" s="36" t="s">
        <v>552</v>
      </c>
      <c r="J34" s="36" t="s">
        <v>591</v>
      </c>
      <c r="K34" s="36" t="s">
        <v>1016</v>
      </c>
      <c r="L34" s="37">
        <v>151199.88</v>
      </c>
      <c r="M34" s="271">
        <v>151205</v>
      </c>
      <c r="N34" s="34" t="s">
        <v>899</v>
      </c>
      <c r="O34" s="34" t="s">
        <v>1198</v>
      </c>
      <c r="P34" s="272" t="s">
        <v>1202</v>
      </c>
    </row>
    <row r="35" spans="1:16" x14ac:dyDescent="0.25">
      <c r="A35" s="270" t="s">
        <v>411</v>
      </c>
      <c r="B35" s="31" t="s">
        <v>410</v>
      </c>
      <c r="C35" s="31" t="s">
        <v>412</v>
      </c>
      <c r="D35" s="31" t="s">
        <v>414</v>
      </c>
      <c r="E35" s="31" t="s">
        <v>132</v>
      </c>
      <c r="F35" s="31" t="s">
        <v>403</v>
      </c>
      <c r="G35" s="33" t="s">
        <v>583</v>
      </c>
      <c r="H35" s="33" t="s">
        <v>603</v>
      </c>
      <c r="I35" s="36" t="s">
        <v>552</v>
      </c>
      <c r="J35" s="36" t="s">
        <v>580</v>
      </c>
      <c r="K35" s="36" t="s">
        <v>892</v>
      </c>
      <c r="L35" s="37">
        <v>736800.8</v>
      </c>
      <c r="M35" s="271">
        <v>736805</v>
      </c>
      <c r="N35" s="34" t="s">
        <v>899</v>
      </c>
      <c r="O35" s="34" t="s">
        <v>1198</v>
      </c>
      <c r="P35" s="272" t="s">
        <v>1202</v>
      </c>
    </row>
    <row r="36" spans="1:16" x14ac:dyDescent="0.25">
      <c r="A36" s="270" t="s">
        <v>411</v>
      </c>
      <c r="B36" s="31" t="s">
        <v>410</v>
      </c>
      <c r="C36" s="31" t="s">
        <v>412</v>
      </c>
      <c r="D36" s="31" t="s">
        <v>414</v>
      </c>
      <c r="E36" s="31" t="s">
        <v>132</v>
      </c>
      <c r="F36" s="31" t="s">
        <v>403</v>
      </c>
      <c r="G36" s="33" t="s">
        <v>583</v>
      </c>
      <c r="H36" s="33" t="s">
        <v>603</v>
      </c>
      <c r="I36" s="36" t="s">
        <v>553</v>
      </c>
      <c r="J36" s="36" t="s">
        <v>581</v>
      </c>
      <c r="K36" s="36" t="s">
        <v>893</v>
      </c>
      <c r="L36" s="37">
        <v>379581.33</v>
      </c>
      <c r="M36" s="271">
        <v>379585</v>
      </c>
      <c r="N36" s="34" t="s">
        <v>899</v>
      </c>
      <c r="O36" s="34" t="s">
        <v>1198</v>
      </c>
      <c r="P36" s="272" t="s">
        <v>1202</v>
      </c>
    </row>
    <row r="37" spans="1:16" x14ac:dyDescent="0.25">
      <c r="A37" s="270" t="s">
        <v>411</v>
      </c>
      <c r="B37" s="31" t="s">
        <v>410</v>
      </c>
      <c r="C37" s="31" t="s">
        <v>412</v>
      </c>
      <c r="D37" s="31" t="s">
        <v>414</v>
      </c>
      <c r="E37" s="31" t="s">
        <v>132</v>
      </c>
      <c r="F37" s="31" t="s">
        <v>403</v>
      </c>
      <c r="G37" s="33" t="s">
        <v>583</v>
      </c>
      <c r="H37" s="33" t="s">
        <v>603</v>
      </c>
      <c r="I37" s="36" t="s">
        <v>553</v>
      </c>
      <c r="J37" s="36" t="s">
        <v>889</v>
      </c>
      <c r="K37" s="36" t="s">
        <v>894</v>
      </c>
      <c r="L37" s="37">
        <v>0</v>
      </c>
      <c r="M37" s="271">
        <v>0</v>
      </c>
      <c r="N37" s="34" t="s">
        <v>899</v>
      </c>
      <c r="O37" s="34" t="s">
        <v>1198</v>
      </c>
      <c r="P37" s="272" t="s">
        <v>1202</v>
      </c>
    </row>
    <row r="38" spans="1:16" x14ac:dyDescent="0.25">
      <c r="A38" s="270" t="s">
        <v>411</v>
      </c>
      <c r="B38" s="31" t="s">
        <v>410</v>
      </c>
      <c r="C38" s="31" t="s">
        <v>412</v>
      </c>
      <c r="D38" s="31" t="s">
        <v>414</v>
      </c>
      <c r="E38" s="31" t="s">
        <v>132</v>
      </c>
      <c r="F38" s="31" t="s">
        <v>403</v>
      </c>
      <c r="G38" s="33" t="s">
        <v>583</v>
      </c>
      <c r="H38" s="33" t="s">
        <v>603</v>
      </c>
      <c r="I38" s="36" t="s">
        <v>553</v>
      </c>
      <c r="J38" s="36" t="s">
        <v>582</v>
      </c>
      <c r="K38" s="36" t="s">
        <v>896</v>
      </c>
      <c r="L38" s="37">
        <v>547877.13</v>
      </c>
      <c r="M38" s="271">
        <v>547880</v>
      </c>
      <c r="N38" s="34" t="s">
        <v>899</v>
      </c>
      <c r="O38" s="34" t="s">
        <v>1198</v>
      </c>
      <c r="P38" s="272" t="s">
        <v>1202</v>
      </c>
    </row>
    <row r="39" spans="1:16" x14ac:dyDescent="0.25">
      <c r="A39" s="270" t="s">
        <v>411</v>
      </c>
      <c r="B39" s="31" t="s">
        <v>410</v>
      </c>
      <c r="C39" s="31" t="s">
        <v>412</v>
      </c>
      <c r="D39" s="31" t="s">
        <v>414</v>
      </c>
      <c r="E39" s="31" t="s">
        <v>132</v>
      </c>
      <c r="F39" s="31" t="s">
        <v>403</v>
      </c>
      <c r="G39" s="33" t="s">
        <v>583</v>
      </c>
      <c r="H39" s="33" t="s">
        <v>603</v>
      </c>
      <c r="I39" s="36" t="s">
        <v>553</v>
      </c>
      <c r="J39" s="36" t="s">
        <v>881</v>
      </c>
      <c r="K39" s="36" t="s">
        <v>897</v>
      </c>
      <c r="L39" s="37">
        <v>0</v>
      </c>
      <c r="M39" s="271">
        <v>0</v>
      </c>
      <c r="N39" s="34" t="s">
        <v>899</v>
      </c>
      <c r="O39" s="34" t="s">
        <v>1198</v>
      </c>
      <c r="P39" s="272" t="s">
        <v>1202</v>
      </c>
    </row>
    <row r="40" spans="1:16" x14ac:dyDescent="0.25">
      <c r="A40" s="270" t="s">
        <v>411</v>
      </c>
      <c r="B40" s="31" t="s">
        <v>410</v>
      </c>
      <c r="C40" s="31" t="s">
        <v>412</v>
      </c>
      <c r="D40" s="31" t="s">
        <v>414</v>
      </c>
      <c r="E40" s="31" t="s">
        <v>132</v>
      </c>
      <c r="F40" s="31" t="s">
        <v>403</v>
      </c>
      <c r="G40" s="33" t="s">
        <v>583</v>
      </c>
      <c r="H40" s="33" t="s">
        <v>603</v>
      </c>
      <c r="I40" s="36" t="s">
        <v>555</v>
      </c>
      <c r="J40" s="36" t="s">
        <v>579</v>
      </c>
      <c r="K40" s="36" t="s">
        <v>891</v>
      </c>
      <c r="L40" s="37">
        <v>361109.36</v>
      </c>
      <c r="M40" s="271">
        <v>361115</v>
      </c>
      <c r="N40" s="34" t="s">
        <v>899</v>
      </c>
      <c r="O40" s="34" t="s">
        <v>1198</v>
      </c>
      <c r="P40" s="272" t="s">
        <v>1202</v>
      </c>
    </row>
    <row r="41" spans="1:16" x14ac:dyDescent="0.25">
      <c r="A41" s="270" t="s">
        <v>411</v>
      </c>
      <c r="B41" s="31" t="s">
        <v>410</v>
      </c>
      <c r="C41" s="31" t="s">
        <v>412</v>
      </c>
      <c r="D41" s="31" t="s">
        <v>414</v>
      </c>
      <c r="E41" s="31" t="s">
        <v>132</v>
      </c>
      <c r="F41" s="31" t="s">
        <v>403</v>
      </c>
      <c r="G41" s="33" t="s">
        <v>583</v>
      </c>
      <c r="H41" s="33" t="s">
        <v>603</v>
      </c>
      <c r="I41" s="36" t="s">
        <v>555</v>
      </c>
      <c r="J41" s="36" t="s">
        <v>577</v>
      </c>
      <c r="K41" s="36" t="s">
        <v>1197</v>
      </c>
      <c r="L41" s="37">
        <v>193626.79</v>
      </c>
      <c r="M41" s="271">
        <v>193635</v>
      </c>
      <c r="N41" s="34" t="s">
        <v>899</v>
      </c>
      <c r="O41" s="34" t="s">
        <v>1198</v>
      </c>
      <c r="P41" s="272" t="s">
        <v>1202</v>
      </c>
    </row>
    <row r="42" spans="1:16" x14ac:dyDescent="0.25">
      <c r="A42" s="270" t="s">
        <v>411</v>
      </c>
      <c r="B42" s="31" t="s">
        <v>410</v>
      </c>
      <c r="C42" s="31" t="s">
        <v>412</v>
      </c>
      <c r="D42" s="31" t="s">
        <v>414</v>
      </c>
      <c r="E42" s="31" t="s">
        <v>132</v>
      </c>
      <c r="F42" s="31" t="s">
        <v>403</v>
      </c>
      <c r="G42" s="33" t="s">
        <v>583</v>
      </c>
      <c r="H42" s="33" t="s">
        <v>603</v>
      </c>
      <c r="I42" s="36" t="s">
        <v>555</v>
      </c>
      <c r="J42" s="36" t="s">
        <v>578</v>
      </c>
      <c r="K42" s="36" t="s">
        <v>890</v>
      </c>
      <c r="L42" s="37">
        <v>0</v>
      </c>
      <c r="M42" s="271">
        <v>0</v>
      </c>
      <c r="N42" s="34" t="s">
        <v>899</v>
      </c>
      <c r="O42" s="34" t="s">
        <v>1198</v>
      </c>
      <c r="P42" s="272" t="s">
        <v>1202</v>
      </c>
    </row>
    <row r="43" spans="1:16" x14ac:dyDescent="0.25">
      <c r="A43" s="270" t="s">
        <v>411</v>
      </c>
      <c r="B43" s="31" t="s">
        <v>410</v>
      </c>
      <c r="C43" s="31" t="s">
        <v>412</v>
      </c>
      <c r="D43" s="31" t="s">
        <v>414</v>
      </c>
      <c r="E43" s="31" t="s">
        <v>132</v>
      </c>
      <c r="F43" s="31" t="s">
        <v>403</v>
      </c>
      <c r="G43" s="33" t="s">
        <v>583</v>
      </c>
      <c r="H43" s="33" t="s">
        <v>603</v>
      </c>
      <c r="I43" s="36" t="s">
        <v>555</v>
      </c>
      <c r="J43" s="36" t="s">
        <v>875</v>
      </c>
      <c r="K43" s="36" t="s">
        <v>895</v>
      </c>
      <c r="L43" s="37">
        <v>147219.20000000001</v>
      </c>
      <c r="M43" s="271">
        <v>147225</v>
      </c>
      <c r="N43" s="34" t="s">
        <v>899</v>
      </c>
      <c r="O43" s="34" t="s">
        <v>1198</v>
      </c>
      <c r="P43" s="272" t="s">
        <v>1202</v>
      </c>
    </row>
    <row r="44" spans="1:16" x14ac:dyDescent="0.25">
      <c r="A44" s="270" t="s">
        <v>411</v>
      </c>
      <c r="B44" s="31" t="s">
        <v>410</v>
      </c>
      <c r="C44" s="31" t="s">
        <v>412</v>
      </c>
      <c r="D44" s="31" t="s">
        <v>414</v>
      </c>
      <c r="E44" s="31" t="s">
        <v>133</v>
      </c>
      <c r="F44" s="31" t="s">
        <v>680</v>
      </c>
      <c r="G44" s="33" t="s">
        <v>583</v>
      </c>
      <c r="H44" s="33" t="s">
        <v>603</v>
      </c>
      <c r="I44" s="36" t="s">
        <v>552</v>
      </c>
      <c r="J44" s="36" t="s">
        <v>591</v>
      </c>
      <c r="K44" s="36" t="s">
        <v>1016</v>
      </c>
      <c r="L44" s="37">
        <v>0</v>
      </c>
      <c r="M44" s="271">
        <v>0</v>
      </c>
      <c r="N44" s="34" t="s">
        <v>899</v>
      </c>
      <c r="O44" s="34" t="s">
        <v>1198</v>
      </c>
      <c r="P44" s="272" t="s">
        <v>1202</v>
      </c>
    </row>
    <row r="45" spans="1:16" x14ac:dyDescent="0.25">
      <c r="A45" s="270" t="s">
        <v>411</v>
      </c>
      <c r="B45" s="31" t="s">
        <v>410</v>
      </c>
      <c r="C45" s="31" t="s">
        <v>412</v>
      </c>
      <c r="D45" s="31" t="s">
        <v>414</v>
      </c>
      <c r="E45" s="31" t="s">
        <v>133</v>
      </c>
      <c r="F45" s="31" t="s">
        <v>680</v>
      </c>
      <c r="G45" s="33" t="s">
        <v>583</v>
      </c>
      <c r="H45" s="33" t="s">
        <v>603</v>
      </c>
      <c r="I45" s="36" t="s">
        <v>552</v>
      </c>
      <c r="J45" s="36" t="s">
        <v>580</v>
      </c>
      <c r="K45" s="36" t="s">
        <v>892</v>
      </c>
      <c r="L45" s="37">
        <v>42197.9</v>
      </c>
      <c r="M45" s="271">
        <v>42200</v>
      </c>
      <c r="N45" s="34" t="s">
        <v>899</v>
      </c>
      <c r="O45" s="34" t="s">
        <v>1198</v>
      </c>
      <c r="P45" s="272" t="s">
        <v>1202</v>
      </c>
    </row>
    <row r="46" spans="1:16" x14ac:dyDescent="0.25">
      <c r="A46" s="270" t="s">
        <v>411</v>
      </c>
      <c r="B46" s="31" t="s">
        <v>410</v>
      </c>
      <c r="C46" s="31" t="s">
        <v>412</v>
      </c>
      <c r="D46" s="31" t="s">
        <v>414</v>
      </c>
      <c r="E46" s="31" t="s">
        <v>133</v>
      </c>
      <c r="F46" s="31" t="s">
        <v>680</v>
      </c>
      <c r="G46" s="33" t="s">
        <v>583</v>
      </c>
      <c r="H46" s="33" t="s">
        <v>603</v>
      </c>
      <c r="I46" s="36" t="s">
        <v>553</v>
      </c>
      <c r="J46" s="36" t="s">
        <v>581</v>
      </c>
      <c r="K46" s="36" t="s">
        <v>893</v>
      </c>
      <c r="L46" s="37">
        <v>19068.77</v>
      </c>
      <c r="M46" s="271">
        <v>19075</v>
      </c>
      <c r="N46" s="34" t="s">
        <v>899</v>
      </c>
      <c r="O46" s="34" t="s">
        <v>1198</v>
      </c>
      <c r="P46" s="272" t="s">
        <v>1202</v>
      </c>
    </row>
    <row r="47" spans="1:16" x14ac:dyDescent="0.25">
      <c r="A47" s="270" t="s">
        <v>411</v>
      </c>
      <c r="B47" s="31" t="s">
        <v>410</v>
      </c>
      <c r="C47" s="31" t="s">
        <v>412</v>
      </c>
      <c r="D47" s="31" t="s">
        <v>414</v>
      </c>
      <c r="E47" s="31" t="s">
        <v>133</v>
      </c>
      <c r="F47" s="31" t="s">
        <v>680</v>
      </c>
      <c r="G47" s="33" t="s">
        <v>583</v>
      </c>
      <c r="H47" s="33" t="s">
        <v>603</v>
      </c>
      <c r="I47" s="36" t="s">
        <v>553</v>
      </c>
      <c r="J47" s="36" t="s">
        <v>889</v>
      </c>
      <c r="K47" s="36" t="s">
        <v>894</v>
      </c>
      <c r="L47" s="37">
        <v>29243.52</v>
      </c>
      <c r="M47" s="271">
        <v>29250</v>
      </c>
      <c r="N47" s="34" t="s">
        <v>899</v>
      </c>
      <c r="O47" s="34" t="s">
        <v>1198</v>
      </c>
      <c r="P47" s="272" t="s">
        <v>1202</v>
      </c>
    </row>
    <row r="48" spans="1:16" x14ac:dyDescent="0.25">
      <c r="A48" s="270" t="s">
        <v>411</v>
      </c>
      <c r="B48" s="31" t="s">
        <v>410</v>
      </c>
      <c r="C48" s="31" t="s">
        <v>412</v>
      </c>
      <c r="D48" s="31" t="s">
        <v>414</v>
      </c>
      <c r="E48" s="31" t="s">
        <v>133</v>
      </c>
      <c r="F48" s="31" t="s">
        <v>680</v>
      </c>
      <c r="G48" s="33" t="s">
        <v>583</v>
      </c>
      <c r="H48" s="33" t="s">
        <v>603</v>
      </c>
      <c r="I48" s="36" t="s">
        <v>553</v>
      </c>
      <c r="J48" s="36" t="s">
        <v>582</v>
      </c>
      <c r="K48" s="36" t="s">
        <v>896</v>
      </c>
      <c r="L48" s="37">
        <v>128743.49</v>
      </c>
      <c r="M48" s="271">
        <v>128750</v>
      </c>
      <c r="N48" s="34" t="s">
        <v>899</v>
      </c>
      <c r="O48" s="34" t="s">
        <v>1198</v>
      </c>
      <c r="P48" s="272" t="s">
        <v>1202</v>
      </c>
    </row>
    <row r="49" spans="1:16" x14ac:dyDescent="0.25">
      <c r="A49" s="270" t="s">
        <v>411</v>
      </c>
      <c r="B49" s="31" t="s">
        <v>410</v>
      </c>
      <c r="C49" s="31" t="s">
        <v>412</v>
      </c>
      <c r="D49" s="31" t="s">
        <v>414</v>
      </c>
      <c r="E49" s="31" t="s">
        <v>133</v>
      </c>
      <c r="F49" s="31" t="s">
        <v>680</v>
      </c>
      <c r="G49" s="33" t="s">
        <v>583</v>
      </c>
      <c r="H49" s="33" t="s">
        <v>603</v>
      </c>
      <c r="I49" s="36" t="s">
        <v>553</v>
      </c>
      <c r="J49" s="36" t="s">
        <v>881</v>
      </c>
      <c r="K49" s="36" t="s">
        <v>897</v>
      </c>
      <c r="L49" s="37">
        <v>11727.97</v>
      </c>
      <c r="M49" s="271">
        <v>11735</v>
      </c>
      <c r="N49" s="34" t="s">
        <v>899</v>
      </c>
      <c r="O49" s="34" t="s">
        <v>1198</v>
      </c>
      <c r="P49" s="272" t="s">
        <v>1202</v>
      </c>
    </row>
    <row r="50" spans="1:16" x14ac:dyDescent="0.25">
      <c r="A50" s="270" t="s">
        <v>411</v>
      </c>
      <c r="B50" s="31" t="s">
        <v>410</v>
      </c>
      <c r="C50" s="31" t="s">
        <v>412</v>
      </c>
      <c r="D50" s="31" t="s">
        <v>414</v>
      </c>
      <c r="E50" s="31" t="s">
        <v>133</v>
      </c>
      <c r="F50" s="31" t="s">
        <v>680</v>
      </c>
      <c r="G50" s="33" t="s">
        <v>583</v>
      </c>
      <c r="H50" s="33" t="s">
        <v>603</v>
      </c>
      <c r="I50" s="36" t="s">
        <v>555</v>
      </c>
      <c r="J50" s="36" t="s">
        <v>579</v>
      </c>
      <c r="K50" s="36" t="s">
        <v>891</v>
      </c>
      <c r="L50" s="37">
        <v>24320</v>
      </c>
      <c r="M50" s="271">
        <v>24330</v>
      </c>
      <c r="N50" s="34" t="s">
        <v>899</v>
      </c>
      <c r="O50" s="34" t="s">
        <v>1198</v>
      </c>
      <c r="P50" s="272" t="s">
        <v>1202</v>
      </c>
    </row>
    <row r="51" spans="1:16" x14ac:dyDescent="0.25">
      <c r="A51" s="270" t="s">
        <v>411</v>
      </c>
      <c r="B51" s="31" t="s">
        <v>410</v>
      </c>
      <c r="C51" s="31" t="s">
        <v>412</v>
      </c>
      <c r="D51" s="31" t="s">
        <v>414</v>
      </c>
      <c r="E51" s="31" t="s">
        <v>133</v>
      </c>
      <c r="F51" s="31" t="s">
        <v>680</v>
      </c>
      <c r="G51" s="33" t="s">
        <v>583</v>
      </c>
      <c r="H51" s="33" t="s">
        <v>603</v>
      </c>
      <c r="I51" s="36" t="s">
        <v>555</v>
      </c>
      <c r="J51" s="36" t="s">
        <v>577</v>
      </c>
      <c r="K51" s="36" t="s">
        <v>1197</v>
      </c>
      <c r="L51" s="37">
        <v>0</v>
      </c>
      <c r="M51" s="271">
        <v>0</v>
      </c>
      <c r="N51" s="34" t="s">
        <v>899</v>
      </c>
      <c r="O51" s="34" t="s">
        <v>1198</v>
      </c>
      <c r="P51" s="272" t="s">
        <v>1202</v>
      </c>
    </row>
    <row r="52" spans="1:16" x14ac:dyDescent="0.25">
      <c r="A52" s="270" t="s">
        <v>411</v>
      </c>
      <c r="B52" s="31" t="s">
        <v>410</v>
      </c>
      <c r="C52" s="31" t="s">
        <v>412</v>
      </c>
      <c r="D52" s="31" t="s">
        <v>414</v>
      </c>
      <c r="E52" s="31" t="s">
        <v>133</v>
      </c>
      <c r="F52" s="31" t="s">
        <v>680</v>
      </c>
      <c r="G52" s="33" t="s">
        <v>583</v>
      </c>
      <c r="H52" s="33" t="s">
        <v>603</v>
      </c>
      <c r="I52" s="36" t="s">
        <v>555</v>
      </c>
      <c r="J52" s="36" t="s">
        <v>578</v>
      </c>
      <c r="K52" s="36" t="s">
        <v>890</v>
      </c>
      <c r="L52" s="37">
        <v>0</v>
      </c>
      <c r="M52" s="271">
        <v>0</v>
      </c>
      <c r="N52" s="34" t="s">
        <v>899</v>
      </c>
      <c r="O52" s="34" t="s">
        <v>1198</v>
      </c>
      <c r="P52" s="272" t="s">
        <v>1202</v>
      </c>
    </row>
    <row r="53" spans="1:16" x14ac:dyDescent="0.25">
      <c r="A53" s="270" t="s">
        <v>411</v>
      </c>
      <c r="B53" s="31" t="s">
        <v>410</v>
      </c>
      <c r="C53" s="31" t="s">
        <v>412</v>
      </c>
      <c r="D53" s="31" t="s">
        <v>414</v>
      </c>
      <c r="E53" s="31" t="s">
        <v>133</v>
      </c>
      <c r="F53" s="31" t="s">
        <v>680</v>
      </c>
      <c r="G53" s="33" t="s">
        <v>583</v>
      </c>
      <c r="H53" s="33" t="s">
        <v>603</v>
      </c>
      <c r="I53" s="36" t="s">
        <v>555</v>
      </c>
      <c r="J53" s="36" t="s">
        <v>875</v>
      </c>
      <c r="K53" s="36" t="s">
        <v>895</v>
      </c>
      <c r="L53" s="37">
        <v>54203.67</v>
      </c>
      <c r="M53" s="271">
        <v>54210</v>
      </c>
      <c r="N53" s="34" t="s">
        <v>899</v>
      </c>
      <c r="O53" s="34" t="s">
        <v>1198</v>
      </c>
      <c r="P53" s="272" t="s">
        <v>1202</v>
      </c>
    </row>
    <row r="54" spans="1:16" x14ac:dyDescent="0.25">
      <c r="A54" s="270" t="s">
        <v>411</v>
      </c>
      <c r="B54" s="31" t="s">
        <v>410</v>
      </c>
      <c r="C54" s="31" t="s">
        <v>412</v>
      </c>
      <c r="D54" s="31" t="s">
        <v>414</v>
      </c>
      <c r="E54" s="31" t="s">
        <v>134</v>
      </c>
      <c r="F54" s="31" t="s">
        <v>375</v>
      </c>
      <c r="G54" s="33" t="s">
        <v>583</v>
      </c>
      <c r="H54" s="33" t="s">
        <v>603</v>
      </c>
      <c r="I54" s="36" t="s">
        <v>552</v>
      </c>
      <c r="J54" s="36" t="s">
        <v>591</v>
      </c>
      <c r="K54" s="36" t="s">
        <v>1016</v>
      </c>
      <c r="L54" s="37">
        <v>45730.37</v>
      </c>
      <c r="M54" s="271">
        <v>45730</v>
      </c>
      <c r="N54" s="34" t="s">
        <v>899</v>
      </c>
      <c r="O54" s="34" t="s">
        <v>1198</v>
      </c>
      <c r="P54" s="272" t="s">
        <v>1204</v>
      </c>
    </row>
    <row r="55" spans="1:16" x14ac:dyDescent="0.25">
      <c r="A55" s="270" t="s">
        <v>411</v>
      </c>
      <c r="B55" s="31" t="s">
        <v>410</v>
      </c>
      <c r="C55" s="31" t="s">
        <v>412</v>
      </c>
      <c r="D55" s="31" t="s">
        <v>414</v>
      </c>
      <c r="E55" s="31" t="s">
        <v>134</v>
      </c>
      <c r="F55" s="31" t="s">
        <v>375</v>
      </c>
      <c r="G55" s="33" t="s">
        <v>583</v>
      </c>
      <c r="H55" s="33" t="s">
        <v>603</v>
      </c>
      <c r="I55" s="36" t="s">
        <v>552</v>
      </c>
      <c r="J55" s="36" t="s">
        <v>580</v>
      </c>
      <c r="K55" s="36" t="s">
        <v>892</v>
      </c>
      <c r="L55" s="37">
        <v>686192.34</v>
      </c>
      <c r="M55" s="271">
        <v>686195</v>
      </c>
      <c r="N55" s="34" t="s">
        <v>899</v>
      </c>
      <c r="O55" s="34" t="s">
        <v>1198</v>
      </c>
      <c r="P55" s="272" t="s">
        <v>1204</v>
      </c>
    </row>
    <row r="56" spans="1:16" x14ac:dyDescent="0.25">
      <c r="A56" s="270" t="s">
        <v>411</v>
      </c>
      <c r="B56" s="31" t="s">
        <v>410</v>
      </c>
      <c r="C56" s="31" t="s">
        <v>412</v>
      </c>
      <c r="D56" s="31" t="s">
        <v>414</v>
      </c>
      <c r="E56" s="31" t="s">
        <v>134</v>
      </c>
      <c r="F56" s="31" t="s">
        <v>375</v>
      </c>
      <c r="G56" s="33" t="s">
        <v>583</v>
      </c>
      <c r="H56" s="33" t="s">
        <v>603</v>
      </c>
      <c r="I56" s="36" t="s">
        <v>553</v>
      </c>
      <c r="J56" s="36" t="s">
        <v>581</v>
      </c>
      <c r="K56" s="36" t="s">
        <v>893</v>
      </c>
      <c r="L56" s="37">
        <v>286252.57</v>
      </c>
      <c r="M56" s="271">
        <v>286255</v>
      </c>
      <c r="N56" s="34" t="s">
        <v>899</v>
      </c>
      <c r="O56" s="34" t="s">
        <v>1198</v>
      </c>
      <c r="P56" s="272" t="s">
        <v>1204</v>
      </c>
    </row>
    <row r="57" spans="1:16" x14ac:dyDescent="0.25">
      <c r="A57" s="270" t="s">
        <v>411</v>
      </c>
      <c r="B57" s="31" t="s">
        <v>410</v>
      </c>
      <c r="C57" s="31" t="s">
        <v>412</v>
      </c>
      <c r="D57" s="31" t="s">
        <v>414</v>
      </c>
      <c r="E57" s="31" t="s">
        <v>134</v>
      </c>
      <c r="F57" s="31" t="s">
        <v>375</v>
      </c>
      <c r="G57" s="33" t="s">
        <v>583</v>
      </c>
      <c r="H57" s="33" t="s">
        <v>603</v>
      </c>
      <c r="I57" s="36" t="s">
        <v>553</v>
      </c>
      <c r="J57" s="36" t="s">
        <v>889</v>
      </c>
      <c r="K57" s="36" t="s">
        <v>894</v>
      </c>
      <c r="L57" s="37">
        <v>149167.51</v>
      </c>
      <c r="M57" s="271">
        <v>149170</v>
      </c>
      <c r="N57" s="34" t="s">
        <v>899</v>
      </c>
      <c r="O57" s="34" t="s">
        <v>1198</v>
      </c>
      <c r="P57" s="272" t="s">
        <v>1204</v>
      </c>
    </row>
    <row r="58" spans="1:16" x14ac:dyDescent="0.25">
      <c r="A58" s="270" t="s">
        <v>411</v>
      </c>
      <c r="B58" s="31" t="s">
        <v>410</v>
      </c>
      <c r="C58" s="31" t="s">
        <v>412</v>
      </c>
      <c r="D58" s="31" t="s">
        <v>414</v>
      </c>
      <c r="E58" s="31" t="s">
        <v>134</v>
      </c>
      <c r="F58" s="31" t="s">
        <v>375</v>
      </c>
      <c r="G58" s="33" t="s">
        <v>583</v>
      </c>
      <c r="H58" s="33" t="s">
        <v>603</v>
      </c>
      <c r="I58" s="36" t="s">
        <v>553</v>
      </c>
      <c r="J58" s="36" t="s">
        <v>582</v>
      </c>
      <c r="K58" s="36" t="s">
        <v>896</v>
      </c>
      <c r="L58" s="37">
        <v>847101.27</v>
      </c>
      <c r="M58" s="271">
        <v>847100</v>
      </c>
      <c r="N58" s="34" t="s">
        <v>899</v>
      </c>
      <c r="O58" s="34" t="s">
        <v>1198</v>
      </c>
      <c r="P58" s="272" t="s">
        <v>1204</v>
      </c>
    </row>
    <row r="59" spans="1:16" x14ac:dyDescent="0.25">
      <c r="A59" s="270" t="s">
        <v>411</v>
      </c>
      <c r="B59" s="31" t="s">
        <v>410</v>
      </c>
      <c r="C59" s="31" t="s">
        <v>412</v>
      </c>
      <c r="D59" s="31" t="s">
        <v>414</v>
      </c>
      <c r="E59" s="31" t="s">
        <v>134</v>
      </c>
      <c r="F59" s="31" t="s">
        <v>375</v>
      </c>
      <c r="G59" s="33" t="s">
        <v>583</v>
      </c>
      <c r="H59" s="33" t="s">
        <v>603</v>
      </c>
      <c r="I59" s="36" t="s">
        <v>553</v>
      </c>
      <c r="J59" s="36" t="s">
        <v>881</v>
      </c>
      <c r="K59" s="36" t="s">
        <v>897</v>
      </c>
      <c r="L59" s="37">
        <v>172476.22</v>
      </c>
      <c r="M59" s="271">
        <v>172480</v>
      </c>
      <c r="N59" s="34" t="s">
        <v>899</v>
      </c>
      <c r="O59" s="34" t="s">
        <v>1198</v>
      </c>
      <c r="P59" s="272" t="s">
        <v>1204</v>
      </c>
    </row>
    <row r="60" spans="1:16" x14ac:dyDescent="0.25">
      <c r="A60" s="270" t="s">
        <v>411</v>
      </c>
      <c r="B60" s="31" t="s">
        <v>410</v>
      </c>
      <c r="C60" s="31" t="s">
        <v>412</v>
      </c>
      <c r="D60" s="31" t="s">
        <v>414</v>
      </c>
      <c r="E60" s="31" t="s">
        <v>134</v>
      </c>
      <c r="F60" s="31" t="s">
        <v>375</v>
      </c>
      <c r="G60" s="33" t="s">
        <v>583</v>
      </c>
      <c r="H60" s="33" t="s">
        <v>603</v>
      </c>
      <c r="I60" s="36" t="s">
        <v>555</v>
      </c>
      <c r="J60" s="36" t="s">
        <v>579</v>
      </c>
      <c r="K60" s="36" t="s">
        <v>891</v>
      </c>
      <c r="L60" s="37">
        <v>660461.4</v>
      </c>
      <c r="M60" s="271">
        <v>660465</v>
      </c>
      <c r="N60" s="34" t="s">
        <v>899</v>
      </c>
      <c r="O60" s="34" t="s">
        <v>1198</v>
      </c>
      <c r="P60" s="272" t="s">
        <v>1204</v>
      </c>
    </row>
    <row r="61" spans="1:16" x14ac:dyDescent="0.25">
      <c r="A61" s="270" t="s">
        <v>411</v>
      </c>
      <c r="B61" s="31" t="s">
        <v>410</v>
      </c>
      <c r="C61" s="31" t="s">
        <v>412</v>
      </c>
      <c r="D61" s="31" t="s">
        <v>414</v>
      </c>
      <c r="E61" s="31" t="s">
        <v>134</v>
      </c>
      <c r="F61" s="31" t="s">
        <v>375</v>
      </c>
      <c r="G61" s="33" t="s">
        <v>583</v>
      </c>
      <c r="H61" s="33" t="s">
        <v>603</v>
      </c>
      <c r="I61" s="36" t="s">
        <v>555</v>
      </c>
      <c r="J61" s="36" t="s">
        <v>577</v>
      </c>
      <c r="K61" s="36" t="s">
        <v>1197</v>
      </c>
      <c r="L61" s="37">
        <v>654022.29</v>
      </c>
      <c r="M61" s="271">
        <v>654025</v>
      </c>
      <c r="N61" s="34" t="s">
        <v>899</v>
      </c>
      <c r="O61" s="34" t="s">
        <v>1198</v>
      </c>
      <c r="P61" s="272" t="s">
        <v>1204</v>
      </c>
    </row>
    <row r="62" spans="1:16" x14ac:dyDescent="0.25">
      <c r="A62" s="270" t="s">
        <v>411</v>
      </c>
      <c r="B62" s="31" t="s">
        <v>410</v>
      </c>
      <c r="C62" s="31" t="s">
        <v>412</v>
      </c>
      <c r="D62" s="31" t="s">
        <v>414</v>
      </c>
      <c r="E62" s="31" t="s">
        <v>134</v>
      </c>
      <c r="F62" s="31" t="s">
        <v>375</v>
      </c>
      <c r="G62" s="33" t="s">
        <v>583</v>
      </c>
      <c r="H62" s="33" t="s">
        <v>603</v>
      </c>
      <c r="I62" s="36" t="s">
        <v>555</v>
      </c>
      <c r="J62" s="36" t="s">
        <v>578</v>
      </c>
      <c r="K62" s="36" t="s">
        <v>890</v>
      </c>
      <c r="L62" s="37">
        <v>201873.34</v>
      </c>
      <c r="M62" s="271">
        <v>201875</v>
      </c>
      <c r="N62" s="34" t="s">
        <v>899</v>
      </c>
      <c r="O62" s="34" t="s">
        <v>1198</v>
      </c>
      <c r="P62" s="272" t="s">
        <v>1204</v>
      </c>
    </row>
    <row r="63" spans="1:16" x14ac:dyDescent="0.25">
      <c r="A63" s="270" t="s">
        <v>411</v>
      </c>
      <c r="B63" s="31" t="s">
        <v>410</v>
      </c>
      <c r="C63" s="31" t="s">
        <v>412</v>
      </c>
      <c r="D63" s="31" t="s">
        <v>414</v>
      </c>
      <c r="E63" s="31" t="s">
        <v>134</v>
      </c>
      <c r="F63" s="31" t="s">
        <v>375</v>
      </c>
      <c r="G63" s="33" t="s">
        <v>583</v>
      </c>
      <c r="H63" s="33" t="s">
        <v>603</v>
      </c>
      <c r="I63" s="36" t="s">
        <v>555</v>
      </c>
      <c r="J63" s="36" t="s">
        <v>875</v>
      </c>
      <c r="K63" s="36" t="s">
        <v>895</v>
      </c>
      <c r="L63" s="37">
        <v>493253.85</v>
      </c>
      <c r="M63" s="271">
        <v>493255</v>
      </c>
      <c r="N63" s="34" t="s">
        <v>899</v>
      </c>
      <c r="O63" s="34" t="s">
        <v>1198</v>
      </c>
      <c r="P63" s="272" t="s">
        <v>1204</v>
      </c>
    </row>
    <row r="64" spans="1:16" x14ac:dyDescent="0.25">
      <c r="A64" s="270" t="s">
        <v>411</v>
      </c>
      <c r="B64" s="31" t="s">
        <v>410</v>
      </c>
      <c r="C64" s="31" t="s">
        <v>412</v>
      </c>
      <c r="D64" s="31" t="s">
        <v>414</v>
      </c>
      <c r="E64" s="31" t="s">
        <v>135</v>
      </c>
      <c r="F64" s="31" t="s">
        <v>416</v>
      </c>
      <c r="G64" s="33" t="s">
        <v>583</v>
      </c>
      <c r="H64" s="33" t="s">
        <v>603</v>
      </c>
      <c r="I64" s="36" t="s">
        <v>552</v>
      </c>
      <c r="J64" s="36" t="s">
        <v>591</v>
      </c>
      <c r="K64" s="36" t="s">
        <v>1016</v>
      </c>
      <c r="L64" s="37">
        <v>0</v>
      </c>
      <c r="M64" s="271">
        <v>0</v>
      </c>
      <c r="N64" s="34" t="s">
        <v>899</v>
      </c>
      <c r="O64" s="34" t="s">
        <v>1198</v>
      </c>
      <c r="P64" s="272" t="s">
        <v>1205</v>
      </c>
    </row>
    <row r="65" spans="1:16" x14ac:dyDescent="0.25">
      <c r="A65" s="270" t="s">
        <v>411</v>
      </c>
      <c r="B65" s="31" t="s">
        <v>410</v>
      </c>
      <c r="C65" s="31" t="s">
        <v>412</v>
      </c>
      <c r="D65" s="31" t="s">
        <v>414</v>
      </c>
      <c r="E65" s="31" t="s">
        <v>135</v>
      </c>
      <c r="F65" s="31" t="s">
        <v>416</v>
      </c>
      <c r="G65" s="33" t="s">
        <v>583</v>
      </c>
      <c r="H65" s="33" t="s">
        <v>603</v>
      </c>
      <c r="I65" s="36" t="s">
        <v>552</v>
      </c>
      <c r="J65" s="36" t="s">
        <v>580</v>
      </c>
      <c r="K65" s="36" t="s">
        <v>892</v>
      </c>
      <c r="L65" s="37">
        <v>75862.48</v>
      </c>
      <c r="M65" s="271">
        <v>75870</v>
      </c>
      <c r="N65" s="34" t="s">
        <v>899</v>
      </c>
      <c r="O65" s="34" t="s">
        <v>1198</v>
      </c>
      <c r="P65" s="272" t="s">
        <v>1205</v>
      </c>
    </row>
    <row r="66" spans="1:16" x14ac:dyDescent="0.25">
      <c r="A66" s="270" t="s">
        <v>411</v>
      </c>
      <c r="B66" s="31" t="s">
        <v>410</v>
      </c>
      <c r="C66" s="31" t="s">
        <v>412</v>
      </c>
      <c r="D66" s="31" t="s">
        <v>414</v>
      </c>
      <c r="E66" s="31" t="s">
        <v>135</v>
      </c>
      <c r="F66" s="31" t="s">
        <v>416</v>
      </c>
      <c r="G66" s="33" t="s">
        <v>583</v>
      </c>
      <c r="H66" s="33" t="s">
        <v>603</v>
      </c>
      <c r="I66" s="36" t="s">
        <v>553</v>
      </c>
      <c r="J66" s="36" t="s">
        <v>581</v>
      </c>
      <c r="K66" s="36" t="s">
        <v>893</v>
      </c>
      <c r="L66" s="37">
        <v>58442.879999999997</v>
      </c>
      <c r="M66" s="271">
        <v>58450</v>
      </c>
      <c r="N66" s="34" t="s">
        <v>899</v>
      </c>
      <c r="O66" s="34" t="s">
        <v>1198</v>
      </c>
      <c r="P66" s="272" t="s">
        <v>1205</v>
      </c>
    </row>
    <row r="67" spans="1:16" x14ac:dyDescent="0.25">
      <c r="A67" s="270" t="s">
        <v>411</v>
      </c>
      <c r="B67" s="31" t="s">
        <v>410</v>
      </c>
      <c r="C67" s="31" t="s">
        <v>412</v>
      </c>
      <c r="D67" s="31" t="s">
        <v>414</v>
      </c>
      <c r="E67" s="31" t="s">
        <v>135</v>
      </c>
      <c r="F67" s="31" t="s">
        <v>416</v>
      </c>
      <c r="G67" s="33" t="s">
        <v>583</v>
      </c>
      <c r="H67" s="33" t="s">
        <v>603</v>
      </c>
      <c r="I67" s="36" t="s">
        <v>553</v>
      </c>
      <c r="J67" s="36" t="s">
        <v>889</v>
      </c>
      <c r="K67" s="36" t="s">
        <v>894</v>
      </c>
      <c r="L67" s="37">
        <v>9380.51</v>
      </c>
      <c r="M67" s="271">
        <v>9385</v>
      </c>
      <c r="N67" s="34" t="s">
        <v>899</v>
      </c>
      <c r="O67" s="34" t="s">
        <v>1198</v>
      </c>
      <c r="P67" s="272" t="s">
        <v>1205</v>
      </c>
    </row>
    <row r="68" spans="1:16" x14ac:dyDescent="0.25">
      <c r="A68" s="270" t="s">
        <v>411</v>
      </c>
      <c r="B68" s="31" t="s">
        <v>410</v>
      </c>
      <c r="C68" s="31" t="s">
        <v>412</v>
      </c>
      <c r="D68" s="31" t="s">
        <v>414</v>
      </c>
      <c r="E68" s="31" t="s">
        <v>135</v>
      </c>
      <c r="F68" s="31" t="s">
        <v>416</v>
      </c>
      <c r="G68" s="33" t="s">
        <v>583</v>
      </c>
      <c r="H68" s="33" t="s">
        <v>603</v>
      </c>
      <c r="I68" s="36" t="s">
        <v>553</v>
      </c>
      <c r="J68" s="36" t="s">
        <v>582</v>
      </c>
      <c r="K68" s="36" t="s">
        <v>896</v>
      </c>
      <c r="L68" s="37">
        <v>189274.62</v>
      </c>
      <c r="M68" s="271">
        <v>189280</v>
      </c>
      <c r="N68" s="34" t="s">
        <v>899</v>
      </c>
      <c r="O68" s="34" t="s">
        <v>1198</v>
      </c>
      <c r="P68" s="272" t="s">
        <v>1205</v>
      </c>
    </row>
    <row r="69" spans="1:16" x14ac:dyDescent="0.25">
      <c r="A69" s="270" t="s">
        <v>411</v>
      </c>
      <c r="B69" s="31" t="s">
        <v>410</v>
      </c>
      <c r="C69" s="31" t="s">
        <v>412</v>
      </c>
      <c r="D69" s="31" t="s">
        <v>414</v>
      </c>
      <c r="E69" s="31" t="s">
        <v>135</v>
      </c>
      <c r="F69" s="31" t="s">
        <v>416</v>
      </c>
      <c r="G69" s="33" t="s">
        <v>583</v>
      </c>
      <c r="H69" s="33" t="s">
        <v>603</v>
      </c>
      <c r="I69" s="36" t="s">
        <v>553</v>
      </c>
      <c r="J69" s="36" t="s">
        <v>881</v>
      </c>
      <c r="K69" s="36" t="s">
        <v>897</v>
      </c>
      <c r="L69" s="37">
        <v>16206.16</v>
      </c>
      <c r="M69" s="271">
        <v>16210</v>
      </c>
      <c r="N69" s="34" t="s">
        <v>899</v>
      </c>
      <c r="O69" s="34" t="s">
        <v>1198</v>
      </c>
      <c r="P69" s="272" t="s">
        <v>1205</v>
      </c>
    </row>
    <row r="70" spans="1:16" x14ac:dyDescent="0.25">
      <c r="A70" s="270" t="s">
        <v>411</v>
      </c>
      <c r="B70" s="31" t="s">
        <v>410</v>
      </c>
      <c r="C70" s="31" t="s">
        <v>412</v>
      </c>
      <c r="D70" s="31" t="s">
        <v>414</v>
      </c>
      <c r="E70" s="31" t="s">
        <v>135</v>
      </c>
      <c r="F70" s="31" t="s">
        <v>416</v>
      </c>
      <c r="G70" s="33" t="s">
        <v>583</v>
      </c>
      <c r="H70" s="33" t="s">
        <v>603</v>
      </c>
      <c r="I70" s="36" t="s">
        <v>555</v>
      </c>
      <c r="J70" s="36" t="s">
        <v>579</v>
      </c>
      <c r="K70" s="36" t="s">
        <v>891</v>
      </c>
      <c r="L70" s="37">
        <v>92134.74</v>
      </c>
      <c r="M70" s="271">
        <v>92140</v>
      </c>
      <c r="N70" s="34" t="s">
        <v>899</v>
      </c>
      <c r="O70" s="34" t="s">
        <v>1198</v>
      </c>
      <c r="P70" s="272" t="s">
        <v>1205</v>
      </c>
    </row>
    <row r="71" spans="1:16" x14ac:dyDescent="0.25">
      <c r="A71" s="270" t="s">
        <v>411</v>
      </c>
      <c r="B71" s="31" t="s">
        <v>410</v>
      </c>
      <c r="C71" s="31" t="s">
        <v>412</v>
      </c>
      <c r="D71" s="31" t="s">
        <v>414</v>
      </c>
      <c r="E71" s="31" t="s">
        <v>135</v>
      </c>
      <c r="F71" s="31" t="s">
        <v>416</v>
      </c>
      <c r="G71" s="33" t="s">
        <v>583</v>
      </c>
      <c r="H71" s="33" t="s">
        <v>603</v>
      </c>
      <c r="I71" s="36" t="s">
        <v>555</v>
      </c>
      <c r="J71" s="36" t="s">
        <v>577</v>
      </c>
      <c r="K71" s="36" t="s">
        <v>1197</v>
      </c>
      <c r="L71" s="37">
        <v>41040.620000000003</v>
      </c>
      <c r="M71" s="271">
        <v>41045</v>
      </c>
      <c r="N71" s="34" t="s">
        <v>899</v>
      </c>
      <c r="O71" s="34" t="s">
        <v>1198</v>
      </c>
      <c r="P71" s="272" t="s">
        <v>1205</v>
      </c>
    </row>
    <row r="72" spans="1:16" x14ac:dyDescent="0.25">
      <c r="A72" s="270" t="s">
        <v>411</v>
      </c>
      <c r="B72" s="31" t="s">
        <v>410</v>
      </c>
      <c r="C72" s="31" t="s">
        <v>412</v>
      </c>
      <c r="D72" s="31" t="s">
        <v>414</v>
      </c>
      <c r="E72" s="31" t="s">
        <v>135</v>
      </c>
      <c r="F72" s="31" t="s">
        <v>416</v>
      </c>
      <c r="G72" s="33" t="s">
        <v>583</v>
      </c>
      <c r="H72" s="33" t="s">
        <v>603</v>
      </c>
      <c r="I72" s="36" t="s">
        <v>555</v>
      </c>
      <c r="J72" s="36" t="s">
        <v>578</v>
      </c>
      <c r="K72" s="36" t="s">
        <v>890</v>
      </c>
      <c r="L72" s="37">
        <v>50192.11</v>
      </c>
      <c r="M72" s="271">
        <v>50200</v>
      </c>
      <c r="N72" s="34" t="s">
        <v>899</v>
      </c>
      <c r="O72" s="34" t="s">
        <v>1198</v>
      </c>
      <c r="P72" s="272" t="s">
        <v>1205</v>
      </c>
    </row>
    <row r="73" spans="1:16" x14ac:dyDescent="0.25">
      <c r="A73" s="270" t="s">
        <v>411</v>
      </c>
      <c r="B73" s="31" t="s">
        <v>410</v>
      </c>
      <c r="C73" s="31" t="s">
        <v>412</v>
      </c>
      <c r="D73" s="31" t="s">
        <v>414</v>
      </c>
      <c r="E73" s="31" t="s">
        <v>135</v>
      </c>
      <c r="F73" s="31" t="s">
        <v>416</v>
      </c>
      <c r="G73" s="33" t="s">
        <v>583</v>
      </c>
      <c r="H73" s="33" t="s">
        <v>603</v>
      </c>
      <c r="I73" s="36" t="s">
        <v>555</v>
      </c>
      <c r="J73" s="36" t="s">
        <v>875</v>
      </c>
      <c r="K73" s="36" t="s">
        <v>895</v>
      </c>
      <c r="L73" s="37">
        <v>89618.96</v>
      </c>
      <c r="M73" s="271">
        <v>89620</v>
      </c>
      <c r="N73" s="34" t="s">
        <v>899</v>
      </c>
      <c r="O73" s="34" t="s">
        <v>1198</v>
      </c>
      <c r="P73" s="272" t="s">
        <v>1205</v>
      </c>
    </row>
    <row r="74" spans="1:16" x14ac:dyDescent="0.25">
      <c r="A74" s="270" t="s">
        <v>411</v>
      </c>
      <c r="B74" s="31" t="s">
        <v>410</v>
      </c>
      <c r="C74" s="31" t="s">
        <v>412</v>
      </c>
      <c r="D74" s="31" t="s">
        <v>414</v>
      </c>
      <c r="E74" s="31" t="s">
        <v>136</v>
      </c>
      <c r="F74" s="31" t="s">
        <v>404</v>
      </c>
      <c r="G74" s="33" t="s">
        <v>583</v>
      </c>
      <c r="H74" s="33" t="s">
        <v>603</v>
      </c>
      <c r="I74" s="36" t="s">
        <v>552</v>
      </c>
      <c r="J74" s="36" t="s">
        <v>591</v>
      </c>
      <c r="K74" s="36" t="s">
        <v>1016</v>
      </c>
      <c r="L74" s="37">
        <v>15243.46</v>
      </c>
      <c r="M74" s="271">
        <v>15245</v>
      </c>
      <c r="N74" s="34" t="s">
        <v>899</v>
      </c>
      <c r="O74" s="34" t="s">
        <v>1198</v>
      </c>
      <c r="P74" s="272" t="s">
        <v>906</v>
      </c>
    </row>
    <row r="75" spans="1:16" x14ac:dyDescent="0.25">
      <c r="A75" s="270" t="s">
        <v>411</v>
      </c>
      <c r="B75" s="31" t="s">
        <v>410</v>
      </c>
      <c r="C75" s="31" t="s">
        <v>412</v>
      </c>
      <c r="D75" s="31" t="s">
        <v>414</v>
      </c>
      <c r="E75" s="31" t="s">
        <v>136</v>
      </c>
      <c r="F75" s="31" t="s">
        <v>404</v>
      </c>
      <c r="G75" s="33" t="s">
        <v>583</v>
      </c>
      <c r="H75" s="33" t="s">
        <v>603</v>
      </c>
      <c r="I75" s="36" t="s">
        <v>552</v>
      </c>
      <c r="J75" s="36" t="s">
        <v>580</v>
      </c>
      <c r="K75" s="36" t="s">
        <v>892</v>
      </c>
      <c r="L75" s="37">
        <v>228730.78</v>
      </c>
      <c r="M75" s="271">
        <v>228730</v>
      </c>
      <c r="N75" s="34" t="s">
        <v>899</v>
      </c>
      <c r="O75" s="34" t="s">
        <v>1198</v>
      </c>
      <c r="P75" s="272" t="s">
        <v>906</v>
      </c>
    </row>
    <row r="76" spans="1:16" x14ac:dyDescent="0.25">
      <c r="A76" s="270" t="s">
        <v>411</v>
      </c>
      <c r="B76" s="31" t="s">
        <v>410</v>
      </c>
      <c r="C76" s="31" t="s">
        <v>412</v>
      </c>
      <c r="D76" s="31" t="s">
        <v>414</v>
      </c>
      <c r="E76" s="31" t="s">
        <v>136</v>
      </c>
      <c r="F76" s="31" t="s">
        <v>404</v>
      </c>
      <c r="G76" s="33" t="s">
        <v>583</v>
      </c>
      <c r="H76" s="33" t="s">
        <v>603</v>
      </c>
      <c r="I76" s="36" t="s">
        <v>553</v>
      </c>
      <c r="J76" s="36" t="s">
        <v>581</v>
      </c>
      <c r="K76" s="36" t="s">
        <v>893</v>
      </c>
      <c r="L76" s="37">
        <v>95417.52</v>
      </c>
      <c r="M76" s="271">
        <v>95420</v>
      </c>
      <c r="N76" s="34" t="s">
        <v>899</v>
      </c>
      <c r="O76" s="34" t="s">
        <v>1198</v>
      </c>
      <c r="P76" s="272" t="s">
        <v>906</v>
      </c>
    </row>
    <row r="77" spans="1:16" x14ac:dyDescent="0.25">
      <c r="A77" s="270" t="s">
        <v>411</v>
      </c>
      <c r="B77" s="31" t="s">
        <v>410</v>
      </c>
      <c r="C77" s="31" t="s">
        <v>412</v>
      </c>
      <c r="D77" s="31" t="s">
        <v>414</v>
      </c>
      <c r="E77" s="31" t="s">
        <v>136</v>
      </c>
      <c r="F77" s="31" t="s">
        <v>404</v>
      </c>
      <c r="G77" s="33" t="s">
        <v>583</v>
      </c>
      <c r="H77" s="33" t="s">
        <v>603</v>
      </c>
      <c r="I77" s="36" t="s">
        <v>553</v>
      </c>
      <c r="J77" s="36" t="s">
        <v>889</v>
      </c>
      <c r="K77" s="36" t="s">
        <v>894</v>
      </c>
      <c r="L77" s="37">
        <v>49722.5</v>
      </c>
      <c r="M77" s="271">
        <v>49725</v>
      </c>
      <c r="N77" s="34" t="s">
        <v>899</v>
      </c>
      <c r="O77" s="34" t="s">
        <v>1198</v>
      </c>
      <c r="P77" s="272" t="s">
        <v>906</v>
      </c>
    </row>
    <row r="78" spans="1:16" x14ac:dyDescent="0.25">
      <c r="A78" s="270" t="s">
        <v>411</v>
      </c>
      <c r="B78" s="31" t="s">
        <v>410</v>
      </c>
      <c r="C78" s="31" t="s">
        <v>412</v>
      </c>
      <c r="D78" s="31" t="s">
        <v>414</v>
      </c>
      <c r="E78" s="31" t="s">
        <v>136</v>
      </c>
      <c r="F78" s="31" t="s">
        <v>404</v>
      </c>
      <c r="G78" s="33" t="s">
        <v>583</v>
      </c>
      <c r="H78" s="33" t="s">
        <v>603</v>
      </c>
      <c r="I78" s="36" t="s">
        <v>553</v>
      </c>
      <c r="J78" s="36" t="s">
        <v>582</v>
      </c>
      <c r="K78" s="36" t="s">
        <v>896</v>
      </c>
      <c r="L78" s="37">
        <v>282367.09000000003</v>
      </c>
      <c r="M78" s="271">
        <v>282370</v>
      </c>
      <c r="N78" s="34" t="s">
        <v>899</v>
      </c>
      <c r="O78" s="34" t="s">
        <v>1198</v>
      </c>
      <c r="P78" s="272" t="s">
        <v>906</v>
      </c>
    </row>
    <row r="79" spans="1:16" x14ac:dyDescent="0.25">
      <c r="A79" s="270" t="s">
        <v>411</v>
      </c>
      <c r="B79" s="31" t="s">
        <v>410</v>
      </c>
      <c r="C79" s="31" t="s">
        <v>412</v>
      </c>
      <c r="D79" s="31" t="s">
        <v>414</v>
      </c>
      <c r="E79" s="31" t="s">
        <v>136</v>
      </c>
      <c r="F79" s="31" t="s">
        <v>404</v>
      </c>
      <c r="G79" s="33" t="s">
        <v>583</v>
      </c>
      <c r="H79" s="33" t="s">
        <v>603</v>
      </c>
      <c r="I79" s="36" t="s">
        <v>553</v>
      </c>
      <c r="J79" s="36" t="s">
        <v>881</v>
      </c>
      <c r="K79" s="36" t="s">
        <v>897</v>
      </c>
      <c r="L79" s="37">
        <v>57492.07</v>
      </c>
      <c r="M79" s="271">
        <v>57490</v>
      </c>
      <c r="N79" s="34" t="s">
        <v>899</v>
      </c>
      <c r="O79" s="34" t="s">
        <v>1198</v>
      </c>
      <c r="P79" s="272" t="s">
        <v>906</v>
      </c>
    </row>
    <row r="80" spans="1:16" x14ac:dyDescent="0.25">
      <c r="A80" s="270" t="s">
        <v>411</v>
      </c>
      <c r="B80" s="31" t="s">
        <v>410</v>
      </c>
      <c r="C80" s="31" t="s">
        <v>412</v>
      </c>
      <c r="D80" s="31" t="s">
        <v>414</v>
      </c>
      <c r="E80" s="31" t="s">
        <v>136</v>
      </c>
      <c r="F80" s="31" t="s">
        <v>404</v>
      </c>
      <c r="G80" s="33" t="s">
        <v>583</v>
      </c>
      <c r="H80" s="33" t="s">
        <v>603</v>
      </c>
      <c r="I80" s="36" t="s">
        <v>555</v>
      </c>
      <c r="J80" s="36" t="s">
        <v>579</v>
      </c>
      <c r="K80" s="36" t="s">
        <v>891</v>
      </c>
      <c r="L80" s="37">
        <v>220153.8</v>
      </c>
      <c r="M80" s="271">
        <v>220155</v>
      </c>
      <c r="N80" s="34" t="s">
        <v>899</v>
      </c>
      <c r="O80" s="34" t="s">
        <v>1198</v>
      </c>
      <c r="P80" s="272" t="s">
        <v>906</v>
      </c>
    </row>
    <row r="81" spans="1:16" x14ac:dyDescent="0.25">
      <c r="A81" s="270" t="s">
        <v>411</v>
      </c>
      <c r="B81" s="31" t="s">
        <v>410</v>
      </c>
      <c r="C81" s="31" t="s">
        <v>412</v>
      </c>
      <c r="D81" s="31" t="s">
        <v>414</v>
      </c>
      <c r="E81" s="31" t="s">
        <v>136</v>
      </c>
      <c r="F81" s="31" t="s">
        <v>404</v>
      </c>
      <c r="G81" s="33" t="s">
        <v>583</v>
      </c>
      <c r="H81" s="33" t="s">
        <v>603</v>
      </c>
      <c r="I81" s="36" t="s">
        <v>555</v>
      </c>
      <c r="J81" s="36" t="s">
        <v>577</v>
      </c>
      <c r="K81" s="36" t="s">
        <v>1197</v>
      </c>
      <c r="L81" s="37">
        <v>218007.43</v>
      </c>
      <c r="M81" s="271">
        <v>218005</v>
      </c>
      <c r="N81" s="34" t="s">
        <v>899</v>
      </c>
      <c r="O81" s="34" t="s">
        <v>1198</v>
      </c>
      <c r="P81" s="272" t="s">
        <v>906</v>
      </c>
    </row>
    <row r="82" spans="1:16" x14ac:dyDescent="0.25">
      <c r="A82" s="270" t="s">
        <v>411</v>
      </c>
      <c r="B82" s="31" t="s">
        <v>410</v>
      </c>
      <c r="C82" s="31" t="s">
        <v>412</v>
      </c>
      <c r="D82" s="31" t="s">
        <v>414</v>
      </c>
      <c r="E82" s="31" t="s">
        <v>136</v>
      </c>
      <c r="F82" s="31" t="s">
        <v>404</v>
      </c>
      <c r="G82" s="33" t="s">
        <v>583</v>
      </c>
      <c r="H82" s="33" t="s">
        <v>603</v>
      </c>
      <c r="I82" s="36" t="s">
        <v>555</v>
      </c>
      <c r="J82" s="36" t="s">
        <v>578</v>
      </c>
      <c r="K82" s="36" t="s">
        <v>890</v>
      </c>
      <c r="L82" s="37">
        <v>67291.11</v>
      </c>
      <c r="M82" s="271">
        <v>67290</v>
      </c>
      <c r="N82" s="34" t="s">
        <v>899</v>
      </c>
      <c r="O82" s="34" t="s">
        <v>1198</v>
      </c>
      <c r="P82" s="272" t="s">
        <v>906</v>
      </c>
    </row>
    <row r="83" spans="1:16" x14ac:dyDescent="0.25">
      <c r="A83" s="270" t="s">
        <v>411</v>
      </c>
      <c r="B83" s="31" t="s">
        <v>410</v>
      </c>
      <c r="C83" s="31" t="s">
        <v>412</v>
      </c>
      <c r="D83" s="31" t="s">
        <v>414</v>
      </c>
      <c r="E83" s="31" t="s">
        <v>136</v>
      </c>
      <c r="F83" s="31" t="s">
        <v>404</v>
      </c>
      <c r="G83" s="33" t="s">
        <v>583</v>
      </c>
      <c r="H83" s="33" t="s">
        <v>603</v>
      </c>
      <c r="I83" s="36" t="s">
        <v>555</v>
      </c>
      <c r="J83" s="36" t="s">
        <v>875</v>
      </c>
      <c r="K83" s="36" t="s">
        <v>895</v>
      </c>
      <c r="L83" s="37">
        <v>164417.95000000001</v>
      </c>
      <c r="M83" s="271">
        <v>164420</v>
      </c>
      <c r="N83" s="34" t="s">
        <v>899</v>
      </c>
      <c r="O83" s="34" t="s">
        <v>1198</v>
      </c>
      <c r="P83" s="272" t="s">
        <v>906</v>
      </c>
    </row>
    <row r="84" spans="1:16" x14ac:dyDescent="0.25">
      <c r="A84" s="270" t="s">
        <v>411</v>
      </c>
      <c r="B84" s="31" t="s">
        <v>410</v>
      </c>
      <c r="C84" s="31" t="s">
        <v>412</v>
      </c>
      <c r="D84" s="31" t="s">
        <v>414</v>
      </c>
      <c r="E84" s="31" t="s">
        <v>137</v>
      </c>
      <c r="F84" s="31" t="s">
        <v>376</v>
      </c>
      <c r="G84" s="33" t="s">
        <v>583</v>
      </c>
      <c r="H84" s="33" t="s">
        <v>603</v>
      </c>
      <c r="I84" s="36" t="s">
        <v>552</v>
      </c>
      <c r="J84" s="36" t="s">
        <v>591</v>
      </c>
      <c r="K84" s="36" t="s">
        <v>1016</v>
      </c>
      <c r="L84" s="37">
        <v>4195.0200000000004</v>
      </c>
      <c r="M84" s="271">
        <v>4200</v>
      </c>
      <c r="N84" s="34" t="s">
        <v>899</v>
      </c>
      <c r="O84" s="34" t="s">
        <v>1198</v>
      </c>
      <c r="P84" s="272" t="s">
        <v>907</v>
      </c>
    </row>
    <row r="85" spans="1:16" x14ac:dyDescent="0.25">
      <c r="A85" s="270" t="s">
        <v>411</v>
      </c>
      <c r="B85" s="31" t="s">
        <v>410</v>
      </c>
      <c r="C85" s="31" t="s">
        <v>412</v>
      </c>
      <c r="D85" s="31" t="s">
        <v>414</v>
      </c>
      <c r="E85" s="31" t="s">
        <v>137</v>
      </c>
      <c r="F85" s="31" t="s">
        <v>376</v>
      </c>
      <c r="G85" s="33" t="s">
        <v>583</v>
      </c>
      <c r="H85" s="33" t="s">
        <v>603</v>
      </c>
      <c r="I85" s="36" t="s">
        <v>552</v>
      </c>
      <c r="J85" s="36" t="s">
        <v>580</v>
      </c>
      <c r="K85" s="36" t="s">
        <v>892</v>
      </c>
      <c r="L85" s="37">
        <v>207251.87</v>
      </c>
      <c r="M85" s="271">
        <v>207260</v>
      </c>
      <c r="N85" s="34" t="s">
        <v>899</v>
      </c>
      <c r="O85" s="34" t="s">
        <v>1198</v>
      </c>
      <c r="P85" s="272" t="s">
        <v>907</v>
      </c>
    </row>
    <row r="86" spans="1:16" x14ac:dyDescent="0.25">
      <c r="A86" s="270" t="s">
        <v>411</v>
      </c>
      <c r="B86" s="31" t="s">
        <v>410</v>
      </c>
      <c r="C86" s="31" t="s">
        <v>412</v>
      </c>
      <c r="D86" s="31" t="s">
        <v>414</v>
      </c>
      <c r="E86" s="31" t="s">
        <v>137</v>
      </c>
      <c r="F86" s="31" t="s">
        <v>376</v>
      </c>
      <c r="G86" s="33" t="s">
        <v>583</v>
      </c>
      <c r="H86" s="33" t="s">
        <v>603</v>
      </c>
      <c r="I86" s="36" t="s">
        <v>553</v>
      </c>
      <c r="J86" s="36" t="s">
        <v>581</v>
      </c>
      <c r="K86" s="36" t="s">
        <v>893</v>
      </c>
      <c r="L86" s="37">
        <v>325110.45</v>
      </c>
      <c r="M86" s="271">
        <v>325115</v>
      </c>
      <c r="N86" s="34" t="s">
        <v>899</v>
      </c>
      <c r="O86" s="34" t="s">
        <v>1198</v>
      </c>
      <c r="P86" s="272" t="s">
        <v>907</v>
      </c>
    </row>
    <row r="87" spans="1:16" x14ac:dyDescent="0.25">
      <c r="A87" s="270" t="s">
        <v>411</v>
      </c>
      <c r="B87" s="31" t="s">
        <v>410</v>
      </c>
      <c r="C87" s="31" t="s">
        <v>412</v>
      </c>
      <c r="D87" s="31" t="s">
        <v>414</v>
      </c>
      <c r="E87" s="31" t="s">
        <v>137</v>
      </c>
      <c r="F87" s="31" t="s">
        <v>376</v>
      </c>
      <c r="G87" s="33" t="s">
        <v>583</v>
      </c>
      <c r="H87" s="33" t="s">
        <v>603</v>
      </c>
      <c r="I87" s="36" t="s">
        <v>553</v>
      </c>
      <c r="J87" s="36" t="s">
        <v>889</v>
      </c>
      <c r="K87" s="36" t="s">
        <v>894</v>
      </c>
      <c r="L87" s="37">
        <v>94718.21</v>
      </c>
      <c r="M87" s="271">
        <v>94720</v>
      </c>
      <c r="N87" s="34" t="s">
        <v>899</v>
      </c>
      <c r="O87" s="34" t="s">
        <v>1198</v>
      </c>
      <c r="P87" s="272" t="s">
        <v>907</v>
      </c>
    </row>
    <row r="88" spans="1:16" x14ac:dyDescent="0.25">
      <c r="A88" s="270" t="s">
        <v>411</v>
      </c>
      <c r="B88" s="31" t="s">
        <v>410</v>
      </c>
      <c r="C88" s="31" t="s">
        <v>412</v>
      </c>
      <c r="D88" s="31" t="s">
        <v>414</v>
      </c>
      <c r="E88" s="31" t="s">
        <v>137</v>
      </c>
      <c r="F88" s="31" t="s">
        <v>376</v>
      </c>
      <c r="G88" s="33" t="s">
        <v>583</v>
      </c>
      <c r="H88" s="33" t="s">
        <v>603</v>
      </c>
      <c r="I88" s="36" t="s">
        <v>553</v>
      </c>
      <c r="J88" s="36" t="s">
        <v>582</v>
      </c>
      <c r="K88" s="36" t="s">
        <v>896</v>
      </c>
      <c r="L88" s="37">
        <v>207272.57</v>
      </c>
      <c r="M88" s="271">
        <v>207275</v>
      </c>
      <c r="N88" s="34" t="s">
        <v>899</v>
      </c>
      <c r="O88" s="34" t="s">
        <v>1198</v>
      </c>
      <c r="P88" s="272" t="s">
        <v>907</v>
      </c>
    </row>
    <row r="89" spans="1:16" x14ac:dyDescent="0.25">
      <c r="A89" s="270" t="s">
        <v>411</v>
      </c>
      <c r="B89" s="31" t="s">
        <v>410</v>
      </c>
      <c r="C89" s="31" t="s">
        <v>412</v>
      </c>
      <c r="D89" s="31" t="s">
        <v>414</v>
      </c>
      <c r="E89" s="31" t="s">
        <v>137</v>
      </c>
      <c r="F89" s="31" t="s">
        <v>376</v>
      </c>
      <c r="G89" s="33" t="s">
        <v>583</v>
      </c>
      <c r="H89" s="33" t="s">
        <v>603</v>
      </c>
      <c r="I89" s="36" t="s">
        <v>553</v>
      </c>
      <c r="J89" s="36" t="s">
        <v>881</v>
      </c>
      <c r="K89" s="36" t="s">
        <v>897</v>
      </c>
      <c r="L89" s="37">
        <v>64737.440000000002</v>
      </c>
      <c r="M89" s="271">
        <v>64740</v>
      </c>
      <c r="N89" s="34" t="s">
        <v>899</v>
      </c>
      <c r="O89" s="34" t="s">
        <v>1198</v>
      </c>
      <c r="P89" s="272" t="s">
        <v>907</v>
      </c>
    </row>
    <row r="90" spans="1:16" x14ac:dyDescent="0.25">
      <c r="A90" s="270" t="s">
        <v>411</v>
      </c>
      <c r="B90" s="31" t="s">
        <v>410</v>
      </c>
      <c r="C90" s="31" t="s">
        <v>412</v>
      </c>
      <c r="D90" s="31" t="s">
        <v>414</v>
      </c>
      <c r="E90" s="31" t="s">
        <v>137</v>
      </c>
      <c r="F90" s="31" t="s">
        <v>376</v>
      </c>
      <c r="G90" s="33" t="s">
        <v>583</v>
      </c>
      <c r="H90" s="33" t="s">
        <v>603</v>
      </c>
      <c r="I90" s="36" t="s">
        <v>555</v>
      </c>
      <c r="J90" s="36" t="s">
        <v>579</v>
      </c>
      <c r="K90" s="36" t="s">
        <v>891</v>
      </c>
      <c r="L90" s="37">
        <v>135447.93</v>
      </c>
      <c r="M90" s="271">
        <v>135450</v>
      </c>
      <c r="N90" s="34" t="s">
        <v>899</v>
      </c>
      <c r="O90" s="34" t="s">
        <v>1198</v>
      </c>
      <c r="P90" s="272" t="s">
        <v>907</v>
      </c>
    </row>
    <row r="91" spans="1:16" x14ac:dyDescent="0.25">
      <c r="A91" s="270" t="s">
        <v>411</v>
      </c>
      <c r="B91" s="31" t="s">
        <v>410</v>
      </c>
      <c r="C91" s="31" t="s">
        <v>412</v>
      </c>
      <c r="D91" s="31" t="s">
        <v>414</v>
      </c>
      <c r="E91" s="31" t="s">
        <v>137</v>
      </c>
      <c r="F91" s="31" t="s">
        <v>376</v>
      </c>
      <c r="G91" s="33" t="s">
        <v>583</v>
      </c>
      <c r="H91" s="33" t="s">
        <v>603</v>
      </c>
      <c r="I91" s="36" t="s">
        <v>555</v>
      </c>
      <c r="J91" s="36" t="s">
        <v>577</v>
      </c>
      <c r="K91" s="36" t="s">
        <v>1197</v>
      </c>
      <c r="L91" s="37">
        <v>14588.46</v>
      </c>
      <c r="M91" s="271">
        <v>14590</v>
      </c>
      <c r="N91" s="34" t="s">
        <v>899</v>
      </c>
      <c r="O91" s="34" t="s">
        <v>1198</v>
      </c>
      <c r="P91" s="272" t="s">
        <v>907</v>
      </c>
    </row>
    <row r="92" spans="1:16" x14ac:dyDescent="0.25">
      <c r="A92" s="270" t="s">
        <v>411</v>
      </c>
      <c r="B92" s="31" t="s">
        <v>410</v>
      </c>
      <c r="C92" s="31" t="s">
        <v>412</v>
      </c>
      <c r="D92" s="31" t="s">
        <v>414</v>
      </c>
      <c r="E92" s="31" t="s">
        <v>137</v>
      </c>
      <c r="F92" s="31" t="s">
        <v>376</v>
      </c>
      <c r="G92" s="33" t="s">
        <v>583</v>
      </c>
      <c r="H92" s="33" t="s">
        <v>603</v>
      </c>
      <c r="I92" s="36" t="s">
        <v>555</v>
      </c>
      <c r="J92" s="36" t="s">
        <v>578</v>
      </c>
      <c r="K92" s="36" t="s">
        <v>890</v>
      </c>
      <c r="L92" s="37">
        <v>6263.16</v>
      </c>
      <c r="M92" s="271">
        <v>6270</v>
      </c>
      <c r="N92" s="34" t="s">
        <v>899</v>
      </c>
      <c r="O92" s="34" t="s">
        <v>1198</v>
      </c>
      <c r="P92" s="272" t="s">
        <v>907</v>
      </c>
    </row>
    <row r="93" spans="1:16" x14ac:dyDescent="0.25">
      <c r="A93" s="270" t="s">
        <v>411</v>
      </c>
      <c r="B93" s="31" t="s">
        <v>410</v>
      </c>
      <c r="C93" s="31" t="s">
        <v>412</v>
      </c>
      <c r="D93" s="31" t="s">
        <v>414</v>
      </c>
      <c r="E93" s="31" t="s">
        <v>137</v>
      </c>
      <c r="F93" s="31" t="s">
        <v>376</v>
      </c>
      <c r="G93" s="33" t="s">
        <v>583</v>
      </c>
      <c r="H93" s="33" t="s">
        <v>603</v>
      </c>
      <c r="I93" s="36" t="s">
        <v>555</v>
      </c>
      <c r="J93" s="36" t="s">
        <v>875</v>
      </c>
      <c r="K93" s="36" t="s">
        <v>895</v>
      </c>
      <c r="L93" s="37">
        <v>158129.19</v>
      </c>
      <c r="M93" s="271">
        <v>158130</v>
      </c>
      <c r="N93" s="34" t="s">
        <v>899</v>
      </c>
      <c r="O93" s="34" t="s">
        <v>1198</v>
      </c>
      <c r="P93" s="272" t="s">
        <v>907</v>
      </c>
    </row>
    <row r="94" spans="1:16" x14ac:dyDescent="0.25">
      <c r="A94" s="270" t="s">
        <v>411</v>
      </c>
      <c r="B94" s="31" t="s">
        <v>410</v>
      </c>
      <c r="C94" s="31" t="s">
        <v>412</v>
      </c>
      <c r="D94" s="31" t="s">
        <v>414</v>
      </c>
      <c r="E94" s="31" t="s">
        <v>138</v>
      </c>
      <c r="F94" s="31" t="s">
        <v>405</v>
      </c>
      <c r="G94" s="33" t="s">
        <v>583</v>
      </c>
      <c r="H94" s="33" t="s">
        <v>603</v>
      </c>
      <c r="I94" s="36" t="s">
        <v>552</v>
      </c>
      <c r="J94" s="36" t="s">
        <v>591</v>
      </c>
      <c r="K94" s="36" t="s">
        <v>1016</v>
      </c>
      <c r="L94" s="37">
        <v>26590.84</v>
      </c>
      <c r="M94" s="271">
        <v>26595</v>
      </c>
      <c r="N94" s="34" t="s">
        <v>899</v>
      </c>
      <c r="O94" s="34" t="s">
        <v>1198</v>
      </c>
      <c r="P94" s="272" t="s">
        <v>908</v>
      </c>
    </row>
    <row r="95" spans="1:16" x14ac:dyDescent="0.25">
      <c r="A95" s="270" t="s">
        <v>411</v>
      </c>
      <c r="B95" s="31" t="s">
        <v>410</v>
      </c>
      <c r="C95" s="31" t="s">
        <v>412</v>
      </c>
      <c r="D95" s="31" t="s">
        <v>414</v>
      </c>
      <c r="E95" s="31" t="s">
        <v>138</v>
      </c>
      <c r="F95" s="31" t="s">
        <v>405</v>
      </c>
      <c r="G95" s="33" t="s">
        <v>583</v>
      </c>
      <c r="H95" s="33" t="s">
        <v>603</v>
      </c>
      <c r="I95" s="36" t="s">
        <v>552</v>
      </c>
      <c r="J95" s="36" t="s">
        <v>580</v>
      </c>
      <c r="K95" s="36" t="s">
        <v>892</v>
      </c>
      <c r="L95" s="37">
        <v>143751.79</v>
      </c>
      <c r="M95" s="271">
        <v>143755</v>
      </c>
      <c r="N95" s="34" t="s">
        <v>899</v>
      </c>
      <c r="O95" s="34" t="s">
        <v>1198</v>
      </c>
      <c r="P95" s="272" t="s">
        <v>908</v>
      </c>
    </row>
    <row r="96" spans="1:16" x14ac:dyDescent="0.25">
      <c r="A96" s="270" t="s">
        <v>411</v>
      </c>
      <c r="B96" s="31" t="s">
        <v>410</v>
      </c>
      <c r="C96" s="31" t="s">
        <v>412</v>
      </c>
      <c r="D96" s="31" t="s">
        <v>414</v>
      </c>
      <c r="E96" s="31" t="s">
        <v>138</v>
      </c>
      <c r="F96" s="31" t="s">
        <v>405</v>
      </c>
      <c r="G96" s="33" t="s">
        <v>583</v>
      </c>
      <c r="H96" s="33" t="s">
        <v>603</v>
      </c>
      <c r="I96" s="36" t="s">
        <v>553</v>
      </c>
      <c r="J96" s="36" t="s">
        <v>581</v>
      </c>
      <c r="K96" s="36" t="s">
        <v>893</v>
      </c>
      <c r="L96" s="37">
        <v>93380.38</v>
      </c>
      <c r="M96" s="271">
        <v>93385</v>
      </c>
      <c r="N96" s="34" t="s">
        <v>899</v>
      </c>
      <c r="O96" s="34" t="s">
        <v>1198</v>
      </c>
      <c r="P96" s="272" t="s">
        <v>908</v>
      </c>
    </row>
    <row r="97" spans="1:16" x14ac:dyDescent="0.25">
      <c r="A97" s="270" t="s">
        <v>411</v>
      </c>
      <c r="B97" s="31" t="s">
        <v>410</v>
      </c>
      <c r="C97" s="31" t="s">
        <v>412</v>
      </c>
      <c r="D97" s="31" t="s">
        <v>414</v>
      </c>
      <c r="E97" s="31" t="s">
        <v>138</v>
      </c>
      <c r="F97" s="31" t="s">
        <v>405</v>
      </c>
      <c r="G97" s="33" t="s">
        <v>583</v>
      </c>
      <c r="H97" s="33" t="s">
        <v>603</v>
      </c>
      <c r="I97" s="36" t="s">
        <v>553</v>
      </c>
      <c r="J97" s="36" t="s">
        <v>889</v>
      </c>
      <c r="K97" s="36" t="s">
        <v>894</v>
      </c>
      <c r="L97" s="37">
        <v>40198.699999999997</v>
      </c>
      <c r="M97" s="271">
        <v>40200</v>
      </c>
      <c r="N97" s="34" t="s">
        <v>899</v>
      </c>
      <c r="O97" s="34" t="s">
        <v>1198</v>
      </c>
      <c r="P97" s="272" t="s">
        <v>908</v>
      </c>
    </row>
    <row r="98" spans="1:16" x14ac:dyDescent="0.25">
      <c r="A98" s="270" t="s">
        <v>411</v>
      </c>
      <c r="B98" s="31" t="s">
        <v>410</v>
      </c>
      <c r="C98" s="31" t="s">
        <v>412</v>
      </c>
      <c r="D98" s="31" t="s">
        <v>414</v>
      </c>
      <c r="E98" s="31" t="s">
        <v>138</v>
      </c>
      <c r="F98" s="31" t="s">
        <v>405</v>
      </c>
      <c r="G98" s="33" t="s">
        <v>583</v>
      </c>
      <c r="H98" s="33" t="s">
        <v>603</v>
      </c>
      <c r="I98" s="36" t="s">
        <v>553</v>
      </c>
      <c r="J98" s="36" t="s">
        <v>582</v>
      </c>
      <c r="K98" s="36" t="s">
        <v>896</v>
      </c>
      <c r="L98" s="37">
        <v>344120.41</v>
      </c>
      <c r="M98" s="271">
        <v>344125</v>
      </c>
      <c r="N98" s="34" t="s">
        <v>899</v>
      </c>
      <c r="O98" s="34" t="s">
        <v>1198</v>
      </c>
      <c r="P98" s="272" t="s">
        <v>908</v>
      </c>
    </row>
    <row r="99" spans="1:16" x14ac:dyDescent="0.25">
      <c r="A99" s="270" t="s">
        <v>411</v>
      </c>
      <c r="B99" s="31" t="s">
        <v>410</v>
      </c>
      <c r="C99" s="31" t="s">
        <v>412</v>
      </c>
      <c r="D99" s="31" t="s">
        <v>414</v>
      </c>
      <c r="E99" s="31" t="s">
        <v>138</v>
      </c>
      <c r="F99" s="31" t="s">
        <v>405</v>
      </c>
      <c r="G99" s="33" t="s">
        <v>583</v>
      </c>
      <c r="H99" s="33" t="s">
        <v>603</v>
      </c>
      <c r="I99" s="36" t="s">
        <v>553</v>
      </c>
      <c r="J99" s="36" t="s">
        <v>881</v>
      </c>
      <c r="K99" s="36" t="s">
        <v>897</v>
      </c>
      <c r="L99" s="37">
        <v>40198.699999999997</v>
      </c>
      <c r="M99" s="271">
        <v>40200</v>
      </c>
      <c r="N99" s="34" t="s">
        <v>899</v>
      </c>
      <c r="O99" s="34" t="s">
        <v>1198</v>
      </c>
      <c r="P99" s="272" t="s">
        <v>908</v>
      </c>
    </row>
    <row r="100" spans="1:16" x14ac:dyDescent="0.25">
      <c r="A100" s="270" t="s">
        <v>411</v>
      </c>
      <c r="B100" s="31" t="s">
        <v>410</v>
      </c>
      <c r="C100" s="31" t="s">
        <v>412</v>
      </c>
      <c r="D100" s="31" t="s">
        <v>414</v>
      </c>
      <c r="E100" s="31" t="s">
        <v>138</v>
      </c>
      <c r="F100" s="31" t="s">
        <v>405</v>
      </c>
      <c r="G100" s="33" t="s">
        <v>583</v>
      </c>
      <c r="H100" s="33" t="s">
        <v>603</v>
      </c>
      <c r="I100" s="36" t="s">
        <v>555</v>
      </c>
      <c r="J100" s="36" t="s">
        <v>579</v>
      </c>
      <c r="K100" s="36" t="s">
        <v>891</v>
      </c>
      <c r="L100" s="37">
        <v>133579.07999999999</v>
      </c>
      <c r="M100" s="271">
        <v>133580</v>
      </c>
      <c r="N100" s="34" t="s">
        <v>899</v>
      </c>
      <c r="O100" s="34" t="s">
        <v>1198</v>
      </c>
      <c r="P100" s="272" t="s">
        <v>908</v>
      </c>
    </row>
    <row r="101" spans="1:16" x14ac:dyDescent="0.25">
      <c r="A101" s="270" t="s">
        <v>411</v>
      </c>
      <c r="B101" s="31" t="s">
        <v>410</v>
      </c>
      <c r="C101" s="31" t="s">
        <v>412</v>
      </c>
      <c r="D101" s="31" t="s">
        <v>414</v>
      </c>
      <c r="E101" s="31" t="s">
        <v>138</v>
      </c>
      <c r="F101" s="31" t="s">
        <v>405</v>
      </c>
      <c r="G101" s="33" t="s">
        <v>583</v>
      </c>
      <c r="H101" s="33" t="s">
        <v>603</v>
      </c>
      <c r="I101" s="36" t="s">
        <v>555</v>
      </c>
      <c r="J101" s="36" t="s">
        <v>577</v>
      </c>
      <c r="K101" s="36" t="s">
        <v>1197</v>
      </c>
      <c r="L101" s="37">
        <v>50371.41</v>
      </c>
      <c r="M101" s="271">
        <v>50375</v>
      </c>
      <c r="N101" s="34" t="s">
        <v>899</v>
      </c>
      <c r="O101" s="34" t="s">
        <v>1198</v>
      </c>
      <c r="P101" s="272" t="s">
        <v>908</v>
      </c>
    </row>
    <row r="102" spans="1:16" x14ac:dyDescent="0.25">
      <c r="A102" s="270" t="s">
        <v>411</v>
      </c>
      <c r="B102" s="31" t="s">
        <v>410</v>
      </c>
      <c r="C102" s="31" t="s">
        <v>412</v>
      </c>
      <c r="D102" s="31" t="s">
        <v>414</v>
      </c>
      <c r="E102" s="31" t="s">
        <v>138</v>
      </c>
      <c r="F102" s="31" t="s">
        <v>405</v>
      </c>
      <c r="G102" s="33" t="s">
        <v>583</v>
      </c>
      <c r="H102" s="33" t="s">
        <v>603</v>
      </c>
      <c r="I102" s="36" t="s">
        <v>555</v>
      </c>
      <c r="J102" s="36" t="s">
        <v>578</v>
      </c>
      <c r="K102" s="36" t="s">
        <v>890</v>
      </c>
      <c r="L102" s="37">
        <v>40198.699999999997</v>
      </c>
      <c r="M102" s="271">
        <v>40200</v>
      </c>
      <c r="N102" s="34" t="s">
        <v>899</v>
      </c>
      <c r="O102" s="34" t="s">
        <v>1198</v>
      </c>
      <c r="P102" s="272" t="s">
        <v>908</v>
      </c>
    </row>
    <row r="103" spans="1:16" x14ac:dyDescent="0.25">
      <c r="A103" s="270" t="s">
        <v>411</v>
      </c>
      <c r="B103" s="31" t="s">
        <v>410</v>
      </c>
      <c r="C103" s="31" t="s">
        <v>412</v>
      </c>
      <c r="D103" s="31" t="s">
        <v>414</v>
      </c>
      <c r="E103" s="31" t="s">
        <v>138</v>
      </c>
      <c r="F103" s="31" t="s">
        <v>405</v>
      </c>
      <c r="G103" s="33" t="s">
        <v>583</v>
      </c>
      <c r="H103" s="33" t="s">
        <v>603</v>
      </c>
      <c r="I103" s="36" t="s">
        <v>555</v>
      </c>
      <c r="J103" s="36" t="s">
        <v>875</v>
      </c>
      <c r="K103" s="36" t="s">
        <v>895</v>
      </c>
      <c r="L103" s="37">
        <v>267783.02</v>
      </c>
      <c r="M103" s="271">
        <v>267785</v>
      </c>
      <c r="N103" s="34" t="s">
        <v>899</v>
      </c>
      <c r="O103" s="34" t="s">
        <v>1198</v>
      </c>
      <c r="P103" s="272" t="s">
        <v>908</v>
      </c>
    </row>
    <row r="104" spans="1:16" x14ac:dyDescent="0.25">
      <c r="A104" s="270" t="s">
        <v>411</v>
      </c>
      <c r="B104" s="31" t="s">
        <v>410</v>
      </c>
      <c r="C104" s="31" t="s">
        <v>412</v>
      </c>
      <c r="D104" s="31" t="s">
        <v>414</v>
      </c>
      <c r="E104" s="31" t="s">
        <v>139</v>
      </c>
      <c r="F104" s="31" t="s">
        <v>394</v>
      </c>
      <c r="G104" s="33" t="s">
        <v>583</v>
      </c>
      <c r="H104" s="33" t="s">
        <v>603</v>
      </c>
      <c r="I104" s="36" t="s">
        <v>552</v>
      </c>
      <c r="J104" s="36" t="s">
        <v>591</v>
      </c>
      <c r="K104" s="36" t="s">
        <v>1016</v>
      </c>
      <c r="L104" s="37">
        <v>212.47</v>
      </c>
      <c r="M104" s="271">
        <v>215</v>
      </c>
      <c r="N104" s="34" t="s">
        <v>899</v>
      </c>
      <c r="O104" s="34" t="s">
        <v>1198</v>
      </c>
      <c r="P104" s="272" t="s">
        <v>909</v>
      </c>
    </row>
    <row r="105" spans="1:16" x14ac:dyDescent="0.25">
      <c r="A105" s="270" t="s">
        <v>411</v>
      </c>
      <c r="B105" s="31" t="s">
        <v>410</v>
      </c>
      <c r="C105" s="31" t="s">
        <v>412</v>
      </c>
      <c r="D105" s="31" t="s">
        <v>414</v>
      </c>
      <c r="E105" s="31" t="s">
        <v>139</v>
      </c>
      <c r="F105" s="31" t="s">
        <v>394</v>
      </c>
      <c r="G105" s="33" t="s">
        <v>583</v>
      </c>
      <c r="H105" s="33" t="s">
        <v>603</v>
      </c>
      <c r="I105" s="36" t="s">
        <v>552</v>
      </c>
      <c r="J105" s="36" t="s">
        <v>580</v>
      </c>
      <c r="K105" s="36" t="s">
        <v>892</v>
      </c>
      <c r="L105" s="37">
        <v>212.47</v>
      </c>
      <c r="M105" s="271">
        <v>215</v>
      </c>
      <c r="N105" s="34" t="s">
        <v>899</v>
      </c>
      <c r="O105" s="34" t="s">
        <v>1198</v>
      </c>
      <c r="P105" s="272" t="s">
        <v>909</v>
      </c>
    </row>
    <row r="106" spans="1:16" x14ac:dyDescent="0.25">
      <c r="A106" s="270" t="s">
        <v>411</v>
      </c>
      <c r="B106" s="31" t="s">
        <v>410</v>
      </c>
      <c r="C106" s="31" t="s">
        <v>412</v>
      </c>
      <c r="D106" s="31" t="s">
        <v>414</v>
      </c>
      <c r="E106" s="31" t="s">
        <v>139</v>
      </c>
      <c r="F106" s="31" t="s">
        <v>394</v>
      </c>
      <c r="G106" s="33" t="s">
        <v>583</v>
      </c>
      <c r="H106" s="33" t="s">
        <v>603</v>
      </c>
      <c r="I106" s="36" t="s">
        <v>553</v>
      </c>
      <c r="J106" s="36" t="s">
        <v>581</v>
      </c>
      <c r="K106" s="36" t="s">
        <v>893</v>
      </c>
      <c r="L106" s="37">
        <v>212.47</v>
      </c>
      <c r="M106" s="271">
        <v>215</v>
      </c>
      <c r="N106" s="34" t="s">
        <v>899</v>
      </c>
      <c r="O106" s="34" t="s">
        <v>1198</v>
      </c>
      <c r="P106" s="272" t="s">
        <v>909</v>
      </c>
    </row>
    <row r="107" spans="1:16" x14ac:dyDescent="0.25">
      <c r="A107" s="270" t="s">
        <v>411</v>
      </c>
      <c r="B107" s="31" t="s">
        <v>410</v>
      </c>
      <c r="C107" s="31" t="s">
        <v>412</v>
      </c>
      <c r="D107" s="31" t="s">
        <v>414</v>
      </c>
      <c r="E107" s="31" t="s">
        <v>139</v>
      </c>
      <c r="F107" s="31" t="s">
        <v>394</v>
      </c>
      <c r="G107" s="33" t="s">
        <v>583</v>
      </c>
      <c r="H107" s="33" t="s">
        <v>603</v>
      </c>
      <c r="I107" s="36" t="s">
        <v>553</v>
      </c>
      <c r="J107" s="36" t="s">
        <v>889</v>
      </c>
      <c r="K107" s="36" t="s">
        <v>894</v>
      </c>
      <c r="L107" s="37">
        <v>212.47</v>
      </c>
      <c r="M107" s="271">
        <v>215</v>
      </c>
      <c r="N107" s="34" t="s">
        <v>899</v>
      </c>
      <c r="O107" s="34" t="s">
        <v>1198</v>
      </c>
      <c r="P107" s="272" t="s">
        <v>909</v>
      </c>
    </row>
    <row r="108" spans="1:16" x14ac:dyDescent="0.25">
      <c r="A108" s="270" t="s">
        <v>411</v>
      </c>
      <c r="B108" s="31" t="s">
        <v>410</v>
      </c>
      <c r="C108" s="31" t="s">
        <v>412</v>
      </c>
      <c r="D108" s="31" t="s">
        <v>414</v>
      </c>
      <c r="E108" s="31" t="s">
        <v>139</v>
      </c>
      <c r="F108" s="31" t="s">
        <v>394</v>
      </c>
      <c r="G108" s="33" t="s">
        <v>583</v>
      </c>
      <c r="H108" s="33" t="s">
        <v>603</v>
      </c>
      <c r="I108" s="36" t="s">
        <v>553</v>
      </c>
      <c r="J108" s="36" t="s">
        <v>582</v>
      </c>
      <c r="K108" s="36" t="s">
        <v>896</v>
      </c>
      <c r="L108" s="37">
        <v>212.47</v>
      </c>
      <c r="M108" s="271">
        <v>215</v>
      </c>
      <c r="N108" s="34" t="s">
        <v>899</v>
      </c>
      <c r="O108" s="34" t="s">
        <v>1198</v>
      </c>
      <c r="P108" s="272" t="s">
        <v>909</v>
      </c>
    </row>
    <row r="109" spans="1:16" x14ac:dyDescent="0.25">
      <c r="A109" s="270" t="s">
        <v>411</v>
      </c>
      <c r="B109" s="31" t="s">
        <v>410</v>
      </c>
      <c r="C109" s="31" t="s">
        <v>412</v>
      </c>
      <c r="D109" s="31" t="s">
        <v>414</v>
      </c>
      <c r="E109" s="31" t="s">
        <v>139</v>
      </c>
      <c r="F109" s="31" t="s">
        <v>394</v>
      </c>
      <c r="G109" s="33" t="s">
        <v>583</v>
      </c>
      <c r="H109" s="33" t="s">
        <v>603</v>
      </c>
      <c r="I109" s="36" t="s">
        <v>553</v>
      </c>
      <c r="J109" s="36" t="s">
        <v>881</v>
      </c>
      <c r="K109" s="36" t="s">
        <v>897</v>
      </c>
      <c r="L109" s="37">
        <v>212.47</v>
      </c>
      <c r="M109" s="271">
        <v>215</v>
      </c>
      <c r="N109" s="34" t="s">
        <v>899</v>
      </c>
      <c r="O109" s="34" t="s">
        <v>1198</v>
      </c>
      <c r="P109" s="272" t="s">
        <v>909</v>
      </c>
    </row>
    <row r="110" spans="1:16" x14ac:dyDescent="0.25">
      <c r="A110" s="270" t="s">
        <v>411</v>
      </c>
      <c r="B110" s="31" t="s">
        <v>410</v>
      </c>
      <c r="C110" s="31" t="s">
        <v>412</v>
      </c>
      <c r="D110" s="31" t="s">
        <v>414</v>
      </c>
      <c r="E110" s="31" t="s">
        <v>139</v>
      </c>
      <c r="F110" s="31" t="s">
        <v>394</v>
      </c>
      <c r="G110" s="33" t="s">
        <v>583</v>
      </c>
      <c r="H110" s="33" t="s">
        <v>603</v>
      </c>
      <c r="I110" s="36" t="s">
        <v>555</v>
      </c>
      <c r="J110" s="36" t="s">
        <v>579</v>
      </c>
      <c r="K110" s="36" t="s">
        <v>891</v>
      </c>
      <c r="L110" s="37">
        <v>212.47</v>
      </c>
      <c r="M110" s="271">
        <v>215</v>
      </c>
      <c r="N110" s="34" t="s">
        <v>899</v>
      </c>
      <c r="O110" s="34" t="s">
        <v>1198</v>
      </c>
      <c r="P110" s="272" t="s">
        <v>909</v>
      </c>
    </row>
    <row r="111" spans="1:16" x14ac:dyDescent="0.25">
      <c r="A111" s="270" t="s">
        <v>411</v>
      </c>
      <c r="B111" s="31" t="s">
        <v>410</v>
      </c>
      <c r="C111" s="31" t="s">
        <v>412</v>
      </c>
      <c r="D111" s="31" t="s">
        <v>414</v>
      </c>
      <c r="E111" s="31" t="s">
        <v>139</v>
      </c>
      <c r="F111" s="31" t="s">
        <v>394</v>
      </c>
      <c r="G111" s="33" t="s">
        <v>583</v>
      </c>
      <c r="H111" s="33" t="s">
        <v>603</v>
      </c>
      <c r="I111" s="36" t="s">
        <v>555</v>
      </c>
      <c r="J111" s="36" t="s">
        <v>577</v>
      </c>
      <c r="K111" s="36" t="s">
        <v>1197</v>
      </c>
      <c r="L111" s="37">
        <v>212.47</v>
      </c>
      <c r="M111" s="271">
        <v>215</v>
      </c>
      <c r="N111" s="34" t="s">
        <v>899</v>
      </c>
      <c r="O111" s="34" t="s">
        <v>1198</v>
      </c>
      <c r="P111" s="272" t="s">
        <v>909</v>
      </c>
    </row>
    <row r="112" spans="1:16" x14ac:dyDescent="0.25">
      <c r="A112" s="270" t="s">
        <v>411</v>
      </c>
      <c r="B112" s="31" t="s">
        <v>410</v>
      </c>
      <c r="C112" s="31" t="s">
        <v>412</v>
      </c>
      <c r="D112" s="31" t="s">
        <v>414</v>
      </c>
      <c r="E112" s="31" t="s">
        <v>139</v>
      </c>
      <c r="F112" s="31" t="s">
        <v>394</v>
      </c>
      <c r="G112" s="33" t="s">
        <v>583</v>
      </c>
      <c r="H112" s="33" t="s">
        <v>603</v>
      </c>
      <c r="I112" s="36" t="s">
        <v>555</v>
      </c>
      <c r="J112" s="36" t="s">
        <v>578</v>
      </c>
      <c r="K112" s="36" t="s">
        <v>890</v>
      </c>
      <c r="L112" s="37">
        <v>212.47</v>
      </c>
      <c r="M112" s="271">
        <v>215</v>
      </c>
      <c r="N112" s="34" t="s">
        <v>899</v>
      </c>
      <c r="O112" s="34" t="s">
        <v>1198</v>
      </c>
      <c r="P112" s="272" t="s">
        <v>909</v>
      </c>
    </row>
    <row r="113" spans="1:16" x14ac:dyDescent="0.25">
      <c r="A113" s="270" t="s">
        <v>411</v>
      </c>
      <c r="B113" s="31" t="s">
        <v>410</v>
      </c>
      <c r="C113" s="31" t="s">
        <v>412</v>
      </c>
      <c r="D113" s="31" t="s">
        <v>414</v>
      </c>
      <c r="E113" s="31" t="s">
        <v>139</v>
      </c>
      <c r="F113" s="31" t="s">
        <v>394</v>
      </c>
      <c r="G113" s="33" t="s">
        <v>583</v>
      </c>
      <c r="H113" s="33" t="s">
        <v>603</v>
      </c>
      <c r="I113" s="36" t="s">
        <v>555</v>
      </c>
      <c r="J113" s="36" t="s">
        <v>875</v>
      </c>
      <c r="K113" s="36" t="s">
        <v>895</v>
      </c>
      <c r="L113" s="37">
        <v>212.47</v>
      </c>
      <c r="M113" s="271">
        <v>215</v>
      </c>
      <c r="N113" s="34" t="s">
        <v>899</v>
      </c>
      <c r="O113" s="34" t="s">
        <v>1198</v>
      </c>
      <c r="P113" s="272" t="s">
        <v>909</v>
      </c>
    </row>
    <row r="114" spans="1:16" x14ac:dyDescent="0.25">
      <c r="A114" s="270" t="s">
        <v>411</v>
      </c>
      <c r="B114" s="31" t="s">
        <v>410</v>
      </c>
      <c r="C114" s="31" t="s">
        <v>412</v>
      </c>
      <c r="D114" s="31" t="s">
        <v>414</v>
      </c>
      <c r="E114" s="31" t="s">
        <v>140</v>
      </c>
      <c r="F114" s="31" t="s">
        <v>395</v>
      </c>
      <c r="G114" s="33" t="s">
        <v>583</v>
      </c>
      <c r="H114" s="33" t="s">
        <v>603</v>
      </c>
      <c r="I114" s="36" t="s">
        <v>552</v>
      </c>
      <c r="J114" s="36" t="s">
        <v>591</v>
      </c>
      <c r="K114" s="36" t="s">
        <v>1016</v>
      </c>
      <c r="L114" s="37">
        <v>0</v>
      </c>
      <c r="M114" s="271">
        <v>0</v>
      </c>
      <c r="N114" s="34" t="s">
        <v>899</v>
      </c>
      <c r="O114" s="34" t="s">
        <v>1198</v>
      </c>
      <c r="P114" s="272" t="s">
        <v>910</v>
      </c>
    </row>
    <row r="115" spans="1:16" x14ac:dyDescent="0.25">
      <c r="A115" s="270" t="s">
        <v>411</v>
      </c>
      <c r="B115" s="31" t="s">
        <v>410</v>
      </c>
      <c r="C115" s="31" t="s">
        <v>412</v>
      </c>
      <c r="D115" s="31" t="s">
        <v>414</v>
      </c>
      <c r="E115" s="31" t="s">
        <v>140</v>
      </c>
      <c r="F115" s="31" t="s">
        <v>395</v>
      </c>
      <c r="G115" s="33" t="s">
        <v>583</v>
      </c>
      <c r="H115" s="33" t="s">
        <v>603</v>
      </c>
      <c r="I115" s="36" t="s">
        <v>552</v>
      </c>
      <c r="J115" s="36" t="s">
        <v>580</v>
      </c>
      <c r="K115" s="36" t="s">
        <v>892</v>
      </c>
      <c r="L115" s="37">
        <v>205037.35</v>
      </c>
      <c r="M115" s="271">
        <v>205035</v>
      </c>
      <c r="N115" s="34" t="s">
        <v>899</v>
      </c>
      <c r="O115" s="34" t="s">
        <v>1198</v>
      </c>
      <c r="P115" s="272" t="s">
        <v>910</v>
      </c>
    </row>
    <row r="116" spans="1:16" x14ac:dyDescent="0.25">
      <c r="A116" s="270" t="s">
        <v>411</v>
      </c>
      <c r="B116" s="31" t="s">
        <v>410</v>
      </c>
      <c r="C116" s="31" t="s">
        <v>412</v>
      </c>
      <c r="D116" s="31" t="s">
        <v>414</v>
      </c>
      <c r="E116" s="31" t="s">
        <v>140</v>
      </c>
      <c r="F116" s="31" t="s">
        <v>395</v>
      </c>
      <c r="G116" s="33" t="s">
        <v>583</v>
      </c>
      <c r="H116" s="33" t="s">
        <v>603</v>
      </c>
      <c r="I116" s="36" t="s">
        <v>553</v>
      </c>
      <c r="J116" s="36" t="s">
        <v>581</v>
      </c>
      <c r="K116" s="36" t="s">
        <v>893</v>
      </c>
      <c r="L116" s="37">
        <v>140511.99</v>
      </c>
      <c r="M116" s="271">
        <v>140510</v>
      </c>
      <c r="N116" s="34" t="s">
        <v>899</v>
      </c>
      <c r="O116" s="34" t="s">
        <v>1198</v>
      </c>
      <c r="P116" s="272" t="s">
        <v>910</v>
      </c>
    </row>
    <row r="117" spans="1:16" x14ac:dyDescent="0.25">
      <c r="A117" s="270" t="s">
        <v>411</v>
      </c>
      <c r="B117" s="31" t="s">
        <v>410</v>
      </c>
      <c r="C117" s="31" t="s">
        <v>412</v>
      </c>
      <c r="D117" s="31" t="s">
        <v>414</v>
      </c>
      <c r="E117" s="31" t="s">
        <v>140</v>
      </c>
      <c r="F117" s="31" t="s">
        <v>395</v>
      </c>
      <c r="G117" s="33" t="s">
        <v>583</v>
      </c>
      <c r="H117" s="33" t="s">
        <v>603</v>
      </c>
      <c r="I117" s="36" t="s">
        <v>553</v>
      </c>
      <c r="J117" s="36" t="s">
        <v>889</v>
      </c>
      <c r="K117" s="36" t="s">
        <v>894</v>
      </c>
      <c r="L117" s="37">
        <v>0</v>
      </c>
      <c r="M117" s="271">
        <v>0</v>
      </c>
      <c r="N117" s="34" t="s">
        <v>899</v>
      </c>
      <c r="O117" s="34" t="s">
        <v>1198</v>
      </c>
      <c r="P117" s="272" t="s">
        <v>910</v>
      </c>
    </row>
    <row r="118" spans="1:16" x14ac:dyDescent="0.25">
      <c r="A118" s="270" t="s">
        <v>411</v>
      </c>
      <c r="B118" s="31" t="s">
        <v>410</v>
      </c>
      <c r="C118" s="31" t="s">
        <v>412</v>
      </c>
      <c r="D118" s="31" t="s">
        <v>414</v>
      </c>
      <c r="E118" s="31" t="s">
        <v>140</v>
      </c>
      <c r="F118" s="31" t="s">
        <v>395</v>
      </c>
      <c r="G118" s="33" t="s">
        <v>583</v>
      </c>
      <c r="H118" s="33" t="s">
        <v>603</v>
      </c>
      <c r="I118" s="36" t="s">
        <v>553</v>
      </c>
      <c r="J118" s="36" t="s">
        <v>582</v>
      </c>
      <c r="K118" s="36" t="s">
        <v>896</v>
      </c>
      <c r="L118" s="37">
        <v>251985.3</v>
      </c>
      <c r="M118" s="271">
        <v>251985</v>
      </c>
      <c r="N118" s="34" t="s">
        <v>899</v>
      </c>
      <c r="O118" s="34" t="s">
        <v>1198</v>
      </c>
      <c r="P118" s="272" t="s">
        <v>910</v>
      </c>
    </row>
    <row r="119" spans="1:16" x14ac:dyDescent="0.25">
      <c r="A119" s="270" t="s">
        <v>411</v>
      </c>
      <c r="B119" s="31" t="s">
        <v>410</v>
      </c>
      <c r="C119" s="31" t="s">
        <v>412</v>
      </c>
      <c r="D119" s="31" t="s">
        <v>414</v>
      </c>
      <c r="E119" s="31" t="s">
        <v>140</v>
      </c>
      <c r="F119" s="31" t="s">
        <v>395</v>
      </c>
      <c r="G119" s="33" t="s">
        <v>583</v>
      </c>
      <c r="H119" s="33" t="s">
        <v>603</v>
      </c>
      <c r="I119" s="36" t="s">
        <v>553</v>
      </c>
      <c r="J119" s="36" t="s">
        <v>881</v>
      </c>
      <c r="K119" s="36" t="s">
        <v>897</v>
      </c>
      <c r="L119" s="37">
        <v>0</v>
      </c>
      <c r="M119" s="271">
        <v>0</v>
      </c>
      <c r="N119" s="34" t="s">
        <v>899</v>
      </c>
      <c r="O119" s="34" t="s">
        <v>1198</v>
      </c>
      <c r="P119" s="272" t="s">
        <v>910</v>
      </c>
    </row>
    <row r="120" spans="1:16" x14ac:dyDescent="0.25">
      <c r="A120" s="270" t="s">
        <v>411</v>
      </c>
      <c r="B120" s="31" t="s">
        <v>410</v>
      </c>
      <c r="C120" s="31" t="s">
        <v>412</v>
      </c>
      <c r="D120" s="31" t="s">
        <v>414</v>
      </c>
      <c r="E120" s="31" t="s">
        <v>140</v>
      </c>
      <c r="F120" s="31" t="s">
        <v>395</v>
      </c>
      <c r="G120" s="33" t="s">
        <v>583</v>
      </c>
      <c r="H120" s="33" t="s">
        <v>603</v>
      </c>
      <c r="I120" s="36" t="s">
        <v>555</v>
      </c>
      <c r="J120" s="36" t="s">
        <v>579</v>
      </c>
      <c r="K120" s="36" t="s">
        <v>891</v>
      </c>
      <c r="L120" s="37">
        <v>128424.93</v>
      </c>
      <c r="M120" s="271">
        <v>128425</v>
      </c>
      <c r="N120" s="34" t="s">
        <v>899</v>
      </c>
      <c r="O120" s="34" t="s">
        <v>1198</v>
      </c>
      <c r="P120" s="272" t="s">
        <v>910</v>
      </c>
    </row>
    <row r="121" spans="1:16" x14ac:dyDescent="0.25">
      <c r="A121" s="270" t="s">
        <v>411</v>
      </c>
      <c r="B121" s="31" t="s">
        <v>410</v>
      </c>
      <c r="C121" s="31" t="s">
        <v>412</v>
      </c>
      <c r="D121" s="31" t="s">
        <v>414</v>
      </c>
      <c r="E121" s="31" t="s">
        <v>140</v>
      </c>
      <c r="F121" s="31" t="s">
        <v>395</v>
      </c>
      <c r="G121" s="33" t="s">
        <v>583</v>
      </c>
      <c r="H121" s="33" t="s">
        <v>603</v>
      </c>
      <c r="I121" s="36" t="s">
        <v>555</v>
      </c>
      <c r="J121" s="36" t="s">
        <v>577</v>
      </c>
      <c r="K121" s="36" t="s">
        <v>1197</v>
      </c>
      <c r="L121" s="37">
        <v>2277967.38</v>
      </c>
      <c r="M121" s="271">
        <v>2277970</v>
      </c>
      <c r="N121" s="34" t="s">
        <v>899</v>
      </c>
      <c r="O121" s="34" t="s">
        <v>1198</v>
      </c>
      <c r="P121" s="272" t="s">
        <v>910</v>
      </c>
    </row>
    <row r="122" spans="1:16" x14ac:dyDescent="0.25">
      <c r="A122" s="270" t="s">
        <v>411</v>
      </c>
      <c r="B122" s="31" t="s">
        <v>410</v>
      </c>
      <c r="C122" s="31" t="s">
        <v>412</v>
      </c>
      <c r="D122" s="31" t="s">
        <v>414</v>
      </c>
      <c r="E122" s="31" t="s">
        <v>140</v>
      </c>
      <c r="F122" s="31" t="s">
        <v>395</v>
      </c>
      <c r="G122" s="33" t="s">
        <v>583</v>
      </c>
      <c r="H122" s="33" t="s">
        <v>603</v>
      </c>
      <c r="I122" s="36" t="s">
        <v>555</v>
      </c>
      <c r="J122" s="36" t="s">
        <v>578</v>
      </c>
      <c r="K122" s="36" t="s">
        <v>890</v>
      </c>
      <c r="L122" s="37">
        <v>654694.14</v>
      </c>
      <c r="M122" s="271">
        <v>654695</v>
      </c>
      <c r="N122" s="34" t="s">
        <v>899</v>
      </c>
      <c r="O122" s="34" t="s">
        <v>1198</v>
      </c>
      <c r="P122" s="272" t="s">
        <v>910</v>
      </c>
    </row>
    <row r="123" spans="1:16" x14ac:dyDescent="0.25">
      <c r="A123" s="270" t="s">
        <v>411</v>
      </c>
      <c r="B123" s="31" t="s">
        <v>410</v>
      </c>
      <c r="C123" s="31" t="s">
        <v>412</v>
      </c>
      <c r="D123" s="31" t="s">
        <v>414</v>
      </c>
      <c r="E123" s="31" t="s">
        <v>140</v>
      </c>
      <c r="F123" s="31" t="s">
        <v>395</v>
      </c>
      <c r="G123" s="33" t="s">
        <v>583</v>
      </c>
      <c r="H123" s="33" t="s">
        <v>603</v>
      </c>
      <c r="I123" s="36" t="s">
        <v>555</v>
      </c>
      <c r="J123" s="36" t="s">
        <v>875</v>
      </c>
      <c r="K123" s="36" t="s">
        <v>895</v>
      </c>
      <c r="L123" s="37">
        <v>434378.45</v>
      </c>
      <c r="M123" s="271">
        <v>434380</v>
      </c>
      <c r="N123" s="34" t="s">
        <v>899</v>
      </c>
      <c r="O123" s="34" t="s">
        <v>1198</v>
      </c>
      <c r="P123" s="272" t="s">
        <v>910</v>
      </c>
    </row>
    <row r="124" spans="1:16" x14ac:dyDescent="0.25">
      <c r="A124" s="270" t="s">
        <v>411</v>
      </c>
      <c r="B124" s="31" t="s">
        <v>410</v>
      </c>
      <c r="C124" s="31" t="s">
        <v>412</v>
      </c>
      <c r="D124" s="31" t="s">
        <v>414</v>
      </c>
      <c r="E124" s="31" t="s">
        <v>141</v>
      </c>
      <c r="F124" s="31" t="s">
        <v>406</v>
      </c>
      <c r="G124" s="33" t="s">
        <v>583</v>
      </c>
      <c r="H124" s="33" t="s">
        <v>603</v>
      </c>
      <c r="I124" s="36" t="s">
        <v>552</v>
      </c>
      <c r="J124" s="36" t="s">
        <v>591</v>
      </c>
      <c r="K124" s="36" t="s">
        <v>1016</v>
      </c>
      <c r="L124" s="37">
        <v>0</v>
      </c>
      <c r="M124" s="271">
        <v>0</v>
      </c>
      <c r="N124" s="34" t="s">
        <v>899</v>
      </c>
      <c r="O124" s="34" t="s">
        <v>1198</v>
      </c>
      <c r="P124" s="272" t="s">
        <v>1202</v>
      </c>
    </row>
    <row r="125" spans="1:16" x14ac:dyDescent="0.25">
      <c r="A125" s="270" t="s">
        <v>411</v>
      </c>
      <c r="B125" s="31" t="s">
        <v>410</v>
      </c>
      <c r="C125" s="31" t="s">
        <v>412</v>
      </c>
      <c r="D125" s="31" t="s">
        <v>414</v>
      </c>
      <c r="E125" s="31" t="s">
        <v>141</v>
      </c>
      <c r="F125" s="31" t="s">
        <v>406</v>
      </c>
      <c r="G125" s="33" t="s">
        <v>583</v>
      </c>
      <c r="H125" s="33" t="s">
        <v>603</v>
      </c>
      <c r="I125" s="36" t="s">
        <v>552</v>
      </c>
      <c r="J125" s="36" t="s">
        <v>580</v>
      </c>
      <c r="K125" s="36" t="s">
        <v>892</v>
      </c>
      <c r="L125" s="37">
        <v>14308.93</v>
      </c>
      <c r="M125" s="271">
        <v>14310</v>
      </c>
      <c r="N125" s="34" t="s">
        <v>899</v>
      </c>
      <c r="O125" s="34" t="s">
        <v>1198</v>
      </c>
      <c r="P125" s="272" t="s">
        <v>1202</v>
      </c>
    </row>
    <row r="126" spans="1:16" x14ac:dyDescent="0.25">
      <c r="A126" s="270" t="s">
        <v>411</v>
      </c>
      <c r="B126" s="31" t="s">
        <v>410</v>
      </c>
      <c r="C126" s="31" t="s">
        <v>412</v>
      </c>
      <c r="D126" s="31" t="s">
        <v>414</v>
      </c>
      <c r="E126" s="31" t="s">
        <v>141</v>
      </c>
      <c r="F126" s="31" t="s">
        <v>406</v>
      </c>
      <c r="G126" s="33" t="s">
        <v>583</v>
      </c>
      <c r="H126" s="33" t="s">
        <v>603</v>
      </c>
      <c r="I126" s="36" t="s">
        <v>553</v>
      </c>
      <c r="J126" s="36" t="s">
        <v>581</v>
      </c>
      <c r="K126" s="36" t="s">
        <v>893</v>
      </c>
      <c r="L126" s="37">
        <v>0</v>
      </c>
      <c r="M126" s="271">
        <v>0</v>
      </c>
      <c r="N126" s="34" t="s">
        <v>899</v>
      </c>
      <c r="O126" s="34" t="s">
        <v>1198</v>
      </c>
      <c r="P126" s="272" t="s">
        <v>1202</v>
      </c>
    </row>
    <row r="127" spans="1:16" x14ac:dyDescent="0.25">
      <c r="A127" s="270" t="s">
        <v>411</v>
      </c>
      <c r="B127" s="31" t="s">
        <v>410</v>
      </c>
      <c r="C127" s="31" t="s">
        <v>412</v>
      </c>
      <c r="D127" s="31" t="s">
        <v>414</v>
      </c>
      <c r="E127" s="31" t="s">
        <v>141</v>
      </c>
      <c r="F127" s="31" t="s">
        <v>406</v>
      </c>
      <c r="G127" s="33" t="s">
        <v>583</v>
      </c>
      <c r="H127" s="33" t="s">
        <v>603</v>
      </c>
      <c r="I127" s="36" t="s">
        <v>553</v>
      </c>
      <c r="J127" s="36" t="s">
        <v>889</v>
      </c>
      <c r="K127" s="36" t="s">
        <v>894</v>
      </c>
      <c r="L127" s="37">
        <v>9814.67</v>
      </c>
      <c r="M127" s="271">
        <v>9815</v>
      </c>
      <c r="N127" s="34" t="s">
        <v>899</v>
      </c>
      <c r="O127" s="34" t="s">
        <v>1198</v>
      </c>
      <c r="P127" s="272" t="s">
        <v>1202</v>
      </c>
    </row>
    <row r="128" spans="1:16" x14ac:dyDescent="0.25">
      <c r="A128" s="270" t="s">
        <v>411</v>
      </c>
      <c r="B128" s="31" t="s">
        <v>410</v>
      </c>
      <c r="C128" s="31" t="s">
        <v>412</v>
      </c>
      <c r="D128" s="31" t="s">
        <v>414</v>
      </c>
      <c r="E128" s="31" t="s">
        <v>141</v>
      </c>
      <c r="F128" s="31" t="s">
        <v>406</v>
      </c>
      <c r="G128" s="33" t="s">
        <v>583</v>
      </c>
      <c r="H128" s="33" t="s">
        <v>603</v>
      </c>
      <c r="I128" s="36" t="s">
        <v>553</v>
      </c>
      <c r="J128" s="36" t="s">
        <v>582</v>
      </c>
      <c r="K128" s="36" t="s">
        <v>896</v>
      </c>
      <c r="L128" s="37">
        <v>43701.2</v>
      </c>
      <c r="M128" s="271">
        <v>43705</v>
      </c>
      <c r="N128" s="34" t="s">
        <v>899</v>
      </c>
      <c r="O128" s="34" t="s">
        <v>1198</v>
      </c>
      <c r="P128" s="272" t="s">
        <v>1202</v>
      </c>
    </row>
    <row r="129" spans="1:16" x14ac:dyDescent="0.25">
      <c r="A129" s="270" t="s">
        <v>411</v>
      </c>
      <c r="B129" s="31" t="s">
        <v>410</v>
      </c>
      <c r="C129" s="31" t="s">
        <v>412</v>
      </c>
      <c r="D129" s="31" t="s">
        <v>414</v>
      </c>
      <c r="E129" s="31" t="s">
        <v>141</v>
      </c>
      <c r="F129" s="31" t="s">
        <v>406</v>
      </c>
      <c r="G129" s="33" t="s">
        <v>583</v>
      </c>
      <c r="H129" s="33" t="s">
        <v>603</v>
      </c>
      <c r="I129" s="36" t="s">
        <v>553</v>
      </c>
      <c r="J129" s="36" t="s">
        <v>881</v>
      </c>
      <c r="K129" s="36" t="s">
        <v>897</v>
      </c>
      <c r="L129" s="37">
        <v>0</v>
      </c>
      <c r="M129" s="271">
        <v>0</v>
      </c>
      <c r="N129" s="34" t="s">
        <v>899</v>
      </c>
      <c r="O129" s="34" t="s">
        <v>1198</v>
      </c>
      <c r="P129" s="272" t="s">
        <v>1202</v>
      </c>
    </row>
    <row r="130" spans="1:16" x14ac:dyDescent="0.25">
      <c r="A130" s="270" t="s">
        <v>411</v>
      </c>
      <c r="B130" s="31" t="s">
        <v>410</v>
      </c>
      <c r="C130" s="31" t="s">
        <v>412</v>
      </c>
      <c r="D130" s="31" t="s">
        <v>414</v>
      </c>
      <c r="E130" s="31" t="s">
        <v>141</v>
      </c>
      <c r="F130" s="31" t="s">
        <v>406</v>
      </c>
      <c r="G130" s="33" t="s">
        <v>583</v>
      </c>
      <c r="H130" s="33" t="s">
        <v>603</v>
      </c>
      <c r="I130" s="36" t="s">
        <v>555</v>
      </c>
      <c r="J130" s="36" t="s">
        <v>579</v>
      </c>
      <c r="K130" s="36" t="s">
        <v>891</v>
      </c>
      <c r="L130" s="37">
        <v>11767.59</v>
      </c>
      <c r="M130" s="271">
        <v>11770</v>
      </c>
      <c r="N130" s="34" t="s">
        <v>899</v>
      </c>
      <c r="O130" s="34" t="s">
        <v>1198</v>
      </c>
      <c r="P130" s="272" t="s">
        <v>1202</v>
      </c>
    </row>
    <row r="131" spans="1:16" x14ac:dyDescent="0.25">
      <c r="A131" s="270" t="s">
        <v>411</v>
      </c>
      <c r="B131" s="31" t="s">
        <v>410</v>
      </c>
      <c r="C131" s="31" t="s">
        <v>412</v>
      </c>
      <c r="D131" s="31" t="s">
        <v>414</v>
      </c>
      <c r="E131" s="31" t="s">
        <v>141</v>
      </c>
      <c r="F131" s="31" t="s">
        <v>406</v>
      </c>
      <c r="G131" s="33" t="s">
        <v>583</v>
      </c>
      <c r="H131" s="33" t="s">
        <v>603</v>
      </c>
      <c r="I131" s="36" t="s">
        <v>555</v>
      </c>
      <c r="J131" s="36" t="s">
        <v>577</v>
      </c>
      <c r="K131" s="36" t="s">
        <v>1197</v>
      </c>
      <c r="L131" s="37">
        <v>0</v>
      </c>
      <c r="M131" s="271">
        <v>0</v>
      </c>
      <c r="N131" s="34" t="s">
        <v>899</v>
      </c>
      <c r="O131" s="34" t="s">
        <v>1198</v>
      </c>
      <c r="P131" s="272" t="s">
        <v>1202</v>
      </c>
    </row>
    <row r="132" spans="1:16" x14ac:dyDescent="0.25">
      <c r="A132" s="270" t="s">
        <v>411</v>
      </c>
      <c r="B132" s="31" t="s">
        <v>410</v>
      </c>
      <c r="C132" s="31" t="s">
        <v>412</v>
      </c>
      <c r="D132" s="31" t="s">
        <v>414</v>
      </c>
      <c r="E132" s="31" t="s">
        <v>141</v>
      </c>
      <c r="F132" s="31" t="s">
        <v>406</v>
      </c>
      <c r="G132" s="33" t="s">
        <v>583</v>
      </c>
      <c r="H132" s="33" t="s">
        <v>603</v>
      </c>
      <c r="I132" s="36" t="s">
        <v>555</v>
      </c>
      <c r="J132" s="36" t="s">
        <v>578</v>
      </c>
      <c r="K132" s="36" t="s">
        <v>890</v>
      </c>
      <c r="L132" s="37">
        <v>0</v>
      </c>
      <c r="M132" s="271">
        <v>0</v>
      </c>
      <c r="N132" s="34" t="s">
        <v>899</v>
      </c>
      <c r="O132" s="34" t="s">
        <v>1198</v>
      </c>
      <c r="P132" s="272" t="s">
        <v>1202</v>
      </c>
    </row>
    <row r="133" spans="1:16" x14ac:dyDescent="0.25">
      <c r="A133" s="270" t="s">
        <v>411</v>
      </c>
      <c r="B133" s="31" t="s">
        <v>410</v>
      </c>
      <c r="C133" s="31" t="s">
        <v>412</v>
      </c>
      <c r="D133" s="31" t="s">
        <v>414</v>
      </c>
      <c r="E133" s="31" t="s">
        <v>141</v>
      </c>
      <c r="F133" s="31" t="s">
        <v>406</v>
      </c>
      <c r="G133" s="33" t="s">
        <v>583</v>
      </c>
      <c r="H133" s="33" t="s">
        <v>603</v>
      </c>
      <c r="I133" s="36" t="s">
        <v>555</v>
      </c>
      <c r="J133" s="36" t="s">
        <v>875</v>
      </c>
      <c r="K133" s="36" t="s">
        <v>895</v>
      </c>
      <c r="L133" s="37">
        <v>17197.12</v>
      </c>
      <c r="M133" s="271">
        <v>17200</v>
      </c>
      <c r="N133" s="34" t="s">
        <v>899</v>
      </c>
      <c r="O133" s="34" t="s">
        <v>1198</v>
      </c>
      <c r="P133" s="272" t="s">
        <v>1202</v>
      </c>
    </row>
    <row r="134" spans="1:16" x14ac:dyDescent="0.25">
      <c r="A134" s="270" t="s">
        <v>411</v>
      </c>
      <c r="B134" s="31" t="s">
        <v>410</v>
      </c>
      <c r="C134" s="31" t="s">
        <v>412</v>
      </c>
      <c r="D134" s="31" t="s">
        <v>414</v>
      </c>
      <c r="E134" s="31" t="s">
        <v>142</v>
      </c>
      <c r="F134" s="31" t="s">
        <v>690</v>
      </c>
      <c r="G134" s="33" t="s">
        <v>583</v>
      </c>
      <c r="H134" s="33" t="s">
        <v>603</v>
      </c>
      <c r="I134" s="36" t="s">
        <v>552</v>
      </c>
      <c r="J134" s="36" t="s">
        <v>591</v>
      </c>
      <c r="K134" s="36" t="s">
        <v>1016</v>
      </c>
      <c r="L134" s="37">
        <v>0</v>
      </c>
      <c r="M134" s="271">
        <v>0</v>
      </c>
      <c r="N134" s="34" t="s">
        <v>899</v>
      </c>
      <c r="O134" s="34" t="s">
        <v>1198</v>
      </c>
      <c r="P134" s="272" t="s">
        <v>1206</v>
      </c>
    </row>
    <row r="135" spans="1:16" x14ac:dyDescent="0.25">
      <c r="A135" s="270" t="s">
        <v>411</v>
      </c>
      <c r="B135" s="31" t="s">
        <v>410</v>
      </c>
      <c r="C135" s="31" t="s">
        <v>412</v>
      </c>
      <c r="D135" s="31" t="s">
        <v>414</v>
      </c>
      <c r="E135" s="31" t="s">
        <v>142</v>
      </c>
      <c r="F135" s="31" t="s">
        <v>690</v>
      </c>
      <c r="G135" s="33" t="s">
        <v>583</v>
      </c>
      <c r="H135" s="33" t="s">
        <v>603</v>
      </c>
      <c r="I135" s="36" t="s">
        <v>552</v>
      </c>
      <c r="J135" s="36" t="s">
        <v>580</v>
      </c>
      <c r="K135" s="36" t="s">
        <v>892</v>
      </c>
      <c r="L135" s="37">
        <v>0</v>
      </c>
      <c r="M135" s="271">
        <v>0</v>
      </c>
      <c r="N135" s="34" t="s">
        <v>899</v>
      </c>
      <c r="O135" s="34" t="s">
        <v>1198</v>
      </c>
      <c r="P135" s="272" t="s">
        <v>1206</v>
      </c>
    </row>
    <row r="136" spans="1:16" x14ac:dyDescent="0.25">
      <c r="A136" s="270" t="s">
        <v>411</v>
      </c>
      <c r="B136" s="31" t="s">
        <v>410</v>
      </c>
      <c r="C136" s="31" t="s">
        <v>412</v>
      </c>
      <c r="D136" s="31" t="s">
        <v>414</v>
      </c>
      <c r="E136" s="31" t="s">
        <v>142</v>
      </c>
      <c r="F136" s="31" t="s">
        <v>690</v>
      </c>
      <c r="G136" s="33" t="s">
        <v>583</v>
      </c>
      <c r="H136" s="33" t="s">
        <v>603</v>
      </c>
      <c r="I136" s="36" t="s">
        <v>553</v>
      </c>
      <c r="J136" s="36" t="s">
        <v>581</v>
      </c>
      <c r="K136" s="36" t="s">
        <v>893</v>
      </c>
      <c r="L136" s="37">
        <v>0</v>
      </c>
      <c r="M136" s="271">
        <v>0</v>
      </c>
      <c r="N136" s="34" t="s">
        <v>899</v>
      </c>
      <c r="O136" s="34" t="s">
        <v>1198</v>
      </c>
      <c r="P136" s="272" t="s">
        <v>1206</v>
      </c>
    </row>
    <row r="137" spans="1:16" x14ac:dyDescent="0.25">
      <c r="A137" s="270" t="s">
        <v>411</v>
      </c>
      <c r="B137" s="31" t="s">
        <v>410</v>
      </c>
      <c r="C137" s="31" t="s">
        <v>412</v>
      </c>
      <c r="D137" s="31" t="s">
        <v>414</v>
      </c>
      <c r="E137" s="31" t="s">
        <v>142</v>
      </c>
      <c r="F137" s="31" t="s">
        <v>690</v>
      </c>
      <c r="G137" s="33" t="s">
        <v>583</v>
      </c>
      <c r="H137" s="33" t="s">
        <v>603</v>
      </c>
      <c r="I137" s="36" t="s">
        <v>553</v>
      </c>
      <c r="J137" s="36" t="s">
        <v>889</v>
      </c>
      <c r="K137" s="36" t="s">
        <v>894</v>
      </c>
      <c r="L137" s="37">
        <v>0</v>
      </c>
      <c r="M137" s="271">
        <v>0</v>
      </c>
      <c r="N137" s="34" t="s">
        <v>899</v>
      </c>
      <c r="O137" s="34" t="s">
        <v>1198</v>
      </c>
      <c r="P137" s="272" t="s">
        <v>1206</v>
      </c>
    </row>
    <row r="138" spans="1:16" x14ac:dyDescent="0.25">
      <c r="A138" s="270" t="s">
        <v>411</v>
      </c>
      <c r="B138" s="31" t="s">
        <v>410</v>
      </c>
      <c r="C138" s="31" t="s">
        <v>412</v>
      </c>
      <c r="D138" s="31" t="s">
        <v>414</v>
      </c>
      <c r="E138" s="31" t="s">
        <v>142</v>
      </c>
      <c r="F138" s="31" t="s">
        <v>690</v>
      </c>
      <c r="G138" s="33" t="s">
        <v>583</v>
      </c>
      <c r="H138" s="33" t="s">
        <v>603</v>
      </c>
      <c r="I138" s="36" t="s">
        <v>553</v>
      </c>
      <c r="J138" s="36" t="s">
        <v>582</v>
      </c>
      <c r="K138" s="36" t="s">
        <v>896</v>
      </c>
      <c r="L138" s="37">
        <v>0</v>
      </c>
      <c r="M138" s="271">
        <v>0</v>
      </c>
      <c r="N138" s="34" t="s">
        <v>899</v>
      </c>
      <c r="O138" s="34" t="s">
        <v>1198</v>
      </c>
      <c r="P138" s="272" t="s">
        <v>1206</v>
      </c>
    </row>
    <row r="139" spans="1:16" x14ac:dyDescent="0.25">
      <c r="A139" s="270" t="s">
        <v>411</v>
      </c>
      <c r="B139" s="31" t="s">
        <v>410</v>
      </c>
      <c r="C139" s="31" t="s">
        <v>412</v>
      </c>
      <c r="D139" s="31" t="s">
        <v>414</v>
      </c>
      <c r="E139" s="31" t="s">
        <v>142</v>
      </c>
      <c r="F139" s="31" t="s">
        <v>690</v>
      </c>
      <c r="G139" s="33" t="s">
        <v>583</v>
      </c>
      <c r="H139" s="33" t="s">
        <v>603</v>
      </c>
      <c r="I139" s="36" t="s">
        <v>553</v>
      </c>
      <c r="J139" s="36" t="s">
        <v>881</v>
      </c>
      <c r="K139" s="36" t="s">
        <v>897</v>
      </c>
      <c r="L139" s="37">
        <v>0</v>
      </c>
      <c r="M139" s="271">
        <v>0</v>
      </c>
      <c r="N139" s="34" t="s">
        <v>899</v>
      </c>
      <c r="O139" s="34" t="s">
        <v>1198</v>
      </c>
      <c r="P139" s="272" t="s">
        <v>1206</v>
      </c>
    </row>
    <row r="140" spans="1:16" x14ac:dyDescent="0.25">
      <c r="A140" s="270" t="s">
        <v>411</v>
      </c>
      <c r="B140" s="31" t="s">
        <v>410</v>
      </c>
      <c r="C140" s="31" t="s">
        <v>412</v>
      </c>
      <c r="D140" s="31" t="s">
        <v>414</v>
      </c>
      <c r="E140" s="31" t="s">
        <v>142</v>
      </c>
      <c r="F140" s="31" t="s">
        <v>690</v>
      </c>
      <c r="G140" s="33" t="s">
        <v>583</v>
      </c>
      <c r="H140" s="33" t="s">
        <v>603</v>
      </c>
      <c r="I140" s="36" t="s">
        <v>555</v>
      </c>
      <c r="J140" s="36" t="s">
        <v>579</v>
      </c>
      <c r="K140" s="36" t="s">
        <v>891</v>
      </c>
      <c r="L140" s="37">
        <v>963255.89</v>
      </c>
      <c r="M140" s="271">
        <v>963260</v>
      </c>
      <c r="N140" s="34" t="s">
        <v>899</v>
      </c>
      <c r="O140" s="34" t="s">
        <v>1198</v>
      </c>
      <c r="P140" s="272" t="s">
        <v>1206</v>
      </c>
    </row>
    <row r="141" spans="1:16" x14ac:dyDescent="0.25">
      <c r="A141" s="270" t="s">
        <v>411</v>
      </c>
      <c r="B141" s="31" t="s">
        <v>410</v>
      </c>
      <c r="C141" s="31" t="s">
        <v>412</v>
      </c>
      <c r="D141" s="31" t="s">
        <v>414</v>
      </c>
      <c r="E141" s="31" t="s">
        <v>142</v>
      </c>
      <c r="F141" s="31" t="s">
        <v>690</v>
      </c>
      <c r="G141" s="33" t="s">
        <v>583</v>
      </c>
      <c r="H141" s="33" t="s">
        <v>603</v>
      </c>
      <c r="I141" s="36" t="s">
        <v>555</v>
      </c>
      <c r="J141" s="36" t="s">
        <v>577</v>
      </c>
      <c r="K141" s="36" t="s">
        <v>1197</v>
      </c>
      <c r="L141" s="37">
        <v>347992.01</v>
      </c>
      <c r="M141" s="271">
        <v>347995</v>
      </c>
      <c r="N141" s="34" t="s">
        <v>899</v>
      </c>
      <c r="O141" s="34" t="s">
        <v>1198</v>
      </c>
      <c r="P141" s="272" t="s">
        <v>1206</v>
      </c>
    </row>
    <row r="142" spans="1:16" x14ac:dyDescent="0.25">
      <c r="A142" s="270" t="s">
        <v>411</v>
      </c>
      <c r="B142" s="31" t="s">
        <v>410</v>
      </c>
      <c r="C142" s="31" t="s">
        <v>412</v>
      </c>
      <c r="D142" s="31" t="s">
        <v>414</v>
      </c>
      <c r="E142" s="31" t="s">
        <v>142</v>
      </c>
      <c r="F142" s="31" t="s">
        <v>690</v>
      </c>
      <c r="G142" s="33" t="s">
        <v>583</v>
      </c>
      <c r="H142" s="33" t="s">
        <v>603</v>
      </c>
      <c r="I142" s="36" t="s">
        <v>555</v>
      </c>
      <c r="J142" s="36" t="s">
        <v>578</v>
      </c>
      <c r="K142" s="36" t="s">
        <v>890</v>
      </c>
      <c r="L142" s="37">
        <v>1391926.15</v>
      </c>
      <c r="M142" s="271">
        <v>1391930</v>
      </c>
      <c r="N142" s="34" t="s">
        <v>899</v>
      </c>
      <c r="O142" s="34" t="s">
        <v>1198</v>
      </c>
      <c r="P142" s="272" t="s">
        <v>1206</v>
      </c>
    </row>
    <row r="143" spans="1:16" x14ac:dyDescent="0.25">
      <c r="A143" s="270" t="s">
        <v>411</v>
      </c>
      <c r="B143" s="31" t="s">
        <v>410</v>
      </c>
      <c r="C143" s="31" t="s">
        <v>412</v>
      </c>
      <c r="D143" s="31" t="s">
        <v>414</v>
      </c>
      <c r="E143" s="31" t="s">
        <v>142</v>
      </c>
      <c r="F143" s="31" t="s">
        <v>690</v>
      </c>
      <c r="G143" s="33" t="s">
        <v>583</v>
      </c>
      <c r="H143" s="33" t="s">
        <v>603</v>
      </c>
      <c r="I143" s="36" t="s">
        <v>555</v>
      </c>
      <c r="J143" s="36" t="s">
        <v>875</v>
      </c>
      <c r="K143" s="36" t="s">
        <v>895</v>
      </c>
      <c r="L143" s="37">
        <v>469461.27</v>
      </c>
      <c r="M143" s="271">
        <v>469465</v>
      </c>
      <c r="N143" s="34" t="s">
        <v>899</v>
      </c>
      <c r="O143" s="34" t="s">
        <v>1198</v>
      </c>
      <c r="P143" s="272" t="s">
        <v>1206</v>
      </c>
    </row>
    <row r="144" spans="1:16" x14ac:dyDescent="0.25">
      <c r="A144" s="270" t="s">
        <v>411</v>
      </c>
      <c r="B144" s="31" t="s">
        <v>410</v>
      </c>
      <c r="C144" s="31" t="s">
        <v>412</v>
      </c>
      <c r="D144" s="31" t="s">
        <v>414</v>
      </c>
      <c r="E144" s="31" t="s">
        <v>143</v>
      </c>
      <c r="F144" s="31" t="s">
        <v>144</v>
      </c>
      <c r="G144" s="33" t="s">
        <v>583</v>
      </c>
      <c r="H144" s="33" t="s">
        <v>603</v>
      </c>
      <c r="I144" s="36" t="s">
        <v>552</v>
      </c>
      <c r="J144" s="36" t="s">
        <v>591</v>
      </c>
      <c r="K144" s="36" t="s">
        <v>1016</v>
      </c>
      <c r="L144" s="37">
        <v>45730.37</v>
      </c>
      <c r="M144" s="271">
        <v>45730</v>
      </c>
      <c r="N144" s="34" t="s">
        <v>899</v>
      </c>
      <c r="O144" s="34" t="s">
        <v>1198</v>
      </c>
      <c r="P144" s="272" t="s">
        <v>1206</v>
      </c>
    </row>
    <row r="145" spans="1:16" x14ac:dyDescent="0.25">
      <c r="A145" s="270" t="s">
        <v>411</v>
      </c>
      <c r="B145" s="31" t="s">
        <v>410</v>
      </c>
      <c r="C145" s="31" t="s">
        <v>412</v>
      </c>
      <c r="D145" s="31" t="s">
        <v>414</v>
      </c>
      <c r="E145" s="31" t="s">
        <v>143</v>
      </c>
      <c r="F145" s="31" t="s">
        <v>144</v>
      </c>
      <c r="G145" s="33" t="s">
        <v>583</v>
      </c>
      <c r="H145" s="33" t="s">
        <v>603</v>
      </c>
      <c r="I145" s="36" t="s">
        <v>552</v>
      </c>
      <c r="J145" s="36" t="s">
        <v>580</v>
      </c>
      <c r="K145" s="36" t="s">
        <v>892</v>
      </c>
      <c r="L145" s="37">
        <v>686192.34</v>
      </c>
      <c r="M145" s="271">
        <v>686195</v>
      </c>
      <c r="N145" s="34" t="s">
        <v>899</v>
      </c>
      <c r="O145" s="34" t="s">
        <v>1198</v>
      </c>
      <c r="P145" s="272" t="s">
        <v>1206</v>
      </c>
    </row>
    <row r="146" spans="1:16" x14ac:dyDescent="0.25">
      <c r="A146" s="270" t="s">
        <v>411</v>
      </c>
      <c r="B146" s="31" t="s">
        <v>410</v>
      </c>
      <c r="C146" s="31" t="s">
        <v>412</v>
      </c>
      <c r="D146" s="31" t="s">
        <v>414</v>
      </c>
      <c r="E146" s="31" t="s">
        <v>143</v>
      </c>
      <c r="F146" s="31" t="s">
        <v>144</v>
      </c>
      <c r="G146" s="33" t="s">
        <v>583</v>
      </c>
      <c r="H146" s="33" t="s">
        <v>603</v>
      </c>
      <c r="I146" s="36" t="s">
        <v>553</v>
      </c>
      <c r="J146" s="36" t="s">
        <v>581</v>
      </c>
      <c r="K146" s="36" t="s">
        <v>893</v>
      </c>
      <c r="L146" s="37">
        <v>286252.57</v>
      </c>
      <c r="M146" s="271">
        <v>286255</v>
      </c>
      <c r="N146" s="34" t="s">
        <v>899</v>
      </c>
      <c r="O146" s="34" t="s">
        <v>1198</v>
      </c>
      <c r="P146" s="272" t="s">
        <v>1206</v>
      </c>
    </row>
    <row r="147" spans="1:16" x14ac:dyDescent="0.25">
      <c r="A147" s="270" t="s">
        <v>411</v>
      </c>
      <c r="B147" s="31" t="s">
        <v>410</v>
      </c>
      <c r="C147" s="31" t="s">
        <v>412</v>
      </c>
      <c r="D147" s="31" t="s">
        <v>414</v>
      </c>
      <c r="E147" s="31" t="s">
        <v>143</v>
      </c>
      <c r="F147" s="31" t="s">
        <v>144</v>
      </c>
      <c r="G147" s="33" t="s">
        <v>583</v>
      </c>
      <c r="H147" s="33" t="s">
        <v>603</v>
      </c>
      <c r="I147" s="36" t="s">
        <v>553</v>
      </c>
      <c r="J147" s="36" t="s">
        <v>889</v>
      </c>
      <c r="K147" s="36" t="s">
        <v>894</v>
      </c>
      <c r="L147" s="37">
        <v>149167.51</v>
      </c>
      <c r="M147" s="271">
        <v>149170</v>
      </c>
      <c r="N147" s="34" t="s">
        <v>899</v>
      </c>
      <c r="O147" s="34" t="s">
        <v>1198</v>
      </c>
      <c r="P147" s="272" t="s">
        <v>1206</v>
      </c>
    </row>
    <row r="148" spans="1:16" x14ac:dyDescent="0.25">
      <c r="A148" s="270" t="s">
        <v>411</v>
      </c>
      <c r="B148" s="31" t="s">
        <v>410</v>
      </c>
      <c r="C148" s="31" t="s">
        <v>412</v>
      </c>
      <c r="D148" s="31" t="s">
        <v>414</v>
      </c>
      <c r="E148" s="31" t="s">
        <v>143</v>
      </c>
      <c r="F148" s="31" t="s">
        <v>144</v>
      </c>
      <c r="G148" s="33" t="s">
        <v>583</v>
      </c>
      <c r="H148" s="33" t="s">
        <v>603</v>
      </c>
      <c r="I148" s="36" t="s">
        <v>553</v>
      </c>
      <c r="J148" s="36" t="s">
        <v>582</v>
      </c>
      <c r="K148" s="36" t="s">
        <v>896</v>
      </c>
      <c r="L148" s="37">
        <v>847101.27</v>
      </c>
      <c r="M148" s="271">
        <v>847100</v>
      </c>
      <c r="N148" s="34" t="s">
        <v>899</v>
      </c>
      <c r="O148" s="34" t="s">
        <v>1198</v>
      </c>
      <c r="P148" s="272" t="s">
        <v>1206</v>
      </c>
    </row>
    <row r="149" spans="1:16" x14ac:dyDescent="0.25">
      <c r="A149" s="270" t="s">
        <v>411</v>
      </c>
      <c r="B149" s="31" t="s">
        <v>410</v>
      </c>
      <c r="C149" s="31" t="s">
        <v>412</v>
      </c>
      <c r="D149" s="31" t="s">
        <v>414</v>
      </c>
      <c r="E149" s="31" t="s">
        <v>143</v>
      </c>
      <c r="F149" s="31" t="s">
        <v>144</v>
      </c>
      <c r="G149" s="33" t="s">
        <v>583</v>
      </c>
      <c r="H149" s="33" t="s">
        <v>603</v>
      </c>
      <c r="I149" s="36" t="s">
        <v>553</v>
      </c>
      <c r="J149" s="36" t="s">
        <v>881</v>
      </c>
      <c r="K149" s="36" t="s">
        <v>897</v>
      </c>
      <c r="L149" s="37">
        <v>172476.22</v>
      </c>
      <c r="M149" s="271">
        <v>172480</v>
      </c>
      <c r="N149" s="34" t="s">
        <v>899</v>
      </c>
      <c r="O149" s="34" t="s">
        <v>1198</v>
      </c>
      <c r="P149" s="272" t="s">
        <v>1206</v>
      </c>
    </row>
    <row r="150" spans="1:16" x14ac:dyDescent="0.25">
      <c r="A150" s="270" t="s">
        <v>411</v>
      </c>
      <c r="B150" s="31" t="s">
        <v>410</v>
      </c>
      <c r="C150" s="31" t="s">
        <v>412</v>
      </c>
      <c r="D150" s="31" t="s">
        <v>414</v>
      </c>
      <c r="E150" s="31" t="s">
        <v>143</v>
      </c>
      <c r="F150" s="31" t="s">
        <v>144</v>
      </c>
      <c r="G150" s="33" t="s">
        <v>583</v>
      </c>
      <c r="H150" s="33" t="s">
        <v>603</v>
      </c>
      <c r="I150" s="36" t="s">
        <v>555</v>
      </c>
      <c r="J150" s="36" t="s">
        <v>579</v>
      </c>
      <c r="K150" s="36" t="s">
        <v>891</v>
      </c>
      <c r="L150" s="37">
        <v>660461.4</v>
      </c>
      <c r="M150" s="271">
        <v>660465</v>
      </c>
      <c r="N150" s="34" t="s">
        <v>899</v>
      </c>
      <c r="O150" s="34" t="s">
        <v>1198</v>
      </c>
      <c r="P150" s="272" t="s">
        <v>1206</v>
      </c>
    </row>
    <row r="151" spans="1:16" x14ac:dyDescent="0.25">
      <c r="A151" s="270" t="s">
        <v>411</v>
      </c>
      <c r="B151" s="31" t="s">
        <v>410</v>
      </c>
      <c r="C151" s="31" t="s">
        <v>412</v>
      </c>
      <c r="D151" s="31" t="s">
        <v>414</v>
      </c>
      <c r="E151" s="31" t="s">
        <v>143</v>
      </c>
      <c r="F151" s="31" t="s">
        <v>144</v>
      </c>
      <c r="G151" s="33" t="s">
        <v>583</v>
      </c>
      <c r="H151" s="33" t="s">
        <v>603</v>
      </c>
      <c r="I151" s="36" t="s">
        <v>555</v>
      </c>
      <c r="J151" s="36" t="s">
        <v>577</v>
      </c>
      <c r="K151" s="36" t="s">
        <v>1197</v>
      </c>
      <c r="L151" s="37">
        <v>654022.29</v>
      </c>
      <c r="M151" s="271">
        <v>654025</v>
      </c>
      <c r="N151" s="34" t="s">
        <v>899</v>
      </c>
      <c r="O151" s="34" t="s">
        <v>1198</v>
      </c>
      <c r="P151" s="272" t="s">
        <v>1206</v>
      </c>
    </row>
    <row r="152" spans="1:16" x14ac:dyDescent="0.25">
      <c r="A152" s="270" t="s">
        <v>411</v>
      </c>
      <c r="B152" s="31" t="s">
        <v>410</v>
      </c>
      <c r="C152" s="31" t="s">
        <v>412</v>
      </c>
      <c r="D152" s="31" t="s">
        <v>414</v>
      </c>
      <c r="E152" s="31" t="s">
        <v>143</v>
      </c>
      <c r="F152" s="31" t="s">
        <v>144</v>
      </c>
      <c r="G152" s="33" t="s">
        <v>583</v>
      </c>
      <c r="H152" s="33" t="s">
        <v>603</v>
      </c>
      <c r="I152" s="36" t="s">
        <v>555</v>
      </c>
      <c r="J152" s="36" t="s">
        <v>578</v>
      </c>
      <c r="K152" s="36" t="s">
        <v>890</v>
      </c>
      <c r="L152" s="37">
        <v>201873.34</v>
      </c>
      <c r="M152" s="271">
        <v>201875</v>
      </c>
      <c r="N152" s="34" t="s">
        <v>899</v>
      </c>
      <c r="O152" s="34" t="s">
        <v>1198</v>
      </c>
      <c r="P152" s="272" t="s">
        <v>1206</v>
      </c>
    </row>
    <row r="153" spans="1:16" x14ac:dyDescent="0.25">
      <c r="A153" s="270" t="s">
        <v>411</v>
      </c>
      <c r="B153" s="31" t="s">
        <v>410</v>
      </c>
      <c r="C153" s="31" t="s">
        <v>412</v>
      </c>
      <c r="D153" s="31" t="s">
        <v>414</v>
      </c>
      <c r="E153" s="31" t="s">
        <v>143</v>
      </c>
      <c r="F153" s="31" t="s">
        <v>144</v>
      </c>
      <c r="G153" s="33" t="s">
        <v>583</v>
      </c>
      <c r="H153" s="33" t="s">
        <v>603</v>
      </c>
      <c r="I153" s="36" t="s">
        <v>555</v>
      </c>
      <c r="J153" s="36" t="s">
        <v>875</v>
      </c>
      <c r="K153" s="36" t="s">
        <v>895</v>
      </c>
      <c r="L153" s="37">
        <v>493253.85</v>
      </c>
      <c r="M153" s="271">
        <v>493255</v>
      </c>
      <c r="N153" s="34" t="s">
        <v>899</v>
      </c>
      <c r="O153" s="34" t="s">
        <v>1198</v>
      </c>
      <c r="P153" s="272" t="s">
        <v>1206</v>
      </c>
    </row>
    <row r="154" spans="1:16" x14ac:dyDescent="0.25">
      <c r="A154" s="270" t="s">
        <v>411</v>
      </c>
      <c r="B154" s="31" t="s">
        <v>410</v>
      </c>
      <c r="C154" s="31" t="s">
        <v>412</v>
      </c>
      <c r="D154" s="31" t="s">
        <v>417</v>
      </c>
      <c r="E154" s="31" t="s">
        <v>147</v>
      </c>
      <c r="F154" s="31" t="s">
        <v>696</v>
      </c>
      <c r="G154" s="33" t="s">
        <v>583</v>
      </c>
      <c r="H154" s="33" t="s">
        <v>603</v>
      </c>
      <c r="I154" s="36" t="s">
        <v>552</v>
      </c>
      <c r="J154" s="36" t="s">
        <v>591</v>
      </c>
      <c r="K154" s="36" t="s">
        <v>1016</v>
      </c>
      <c r="L154" s="37">
        <v>152799.54</v>
      </c>
      <c r="M154" s="271">
        <v>152800</v>
      </c>
      <c r="N154" s="34" t="s">
        <v>899</v>
      </c>
      <c r="O154" s="34" t="s">
        <v>1198</v>
      </c>
      <c r="P154" s="272" t="s">
        <v>1199</v>
      </c>
    </row>
    <row r="155" spans="1:16" x14ac:dyDescent="0.25">
      <c r="A155" s="270" t="s">
        <v>411</v>
      </c>
      <c r="B155" s="31" t="s">
        <v>410</v>
      </c>
      <c r="C155" s="31" t="s">
        <v>412</v>
      </c>
      <c r="D155" s="31" t="s">
        <v>417</v>
      </c>
      <c r="E155" s="31" t="s">
        <v>147</v>
      </c>
      <c r="F155" s="31" t="s">
        <v>696</v>
      </c>
      <c r="G155" s="33" t="s">
        <v>583</v>
      </c>
      <c r="H155" s="33" t="s">
        <v>603</v>
      </c>
      <c r="I155" s="36" t="s">
        <v>552</v>
      </c>
      <c r="J155" s="36" t="s">
        <v>580</v>
      </c>
      <c r="K155" s="36" t="s">
        <v>892</v>
      </c>
      <c r="L155" s="37">
        <v>2314694.0499999998</v>
      </c>
      <c r="M155" s="271">
        <v>2314695</v>
      </c>
      <c r="N155" s="34" t="s">
        <v>899</v>
      </c>
      <c r="O155" s="34" t="s">
        <v>1198</v>
      </c>
      <c r="P155" s="272" t="s">
        <v>1199</v>
      </c>
    </row>
    <row r="156" spans="1:16" x14ac:dyDescent="0.25">
      <c r="A156" s="270" t="s">
        <v>411</v>
      </c>
      <c r="B156" s="31" t="s">
        <v>410</v>
      </c>
      <c r="C156" s="31" t="s">
        <v>412</v>
      </c>
      <c r="D156" s="31" t="s">
        <v>417</v>
      </c>
      <c r="E156" s="31" t="s">
        <v>147</v>
      </c>
      <c r="F156" s="31" t="s">
        <v>696</v>
      </c>
      <c r="G156" s="33" t="s">
        <v>583</v>
      </c>
      <c r="H156" s="33" t="s">
        <v>603</v>
      </c>
      <c r="I156" s="36" t="s">
        <v>553</v>
      </c>
      <c r="J156" s="36" t="s">
        <v>581</v>
      </c>
      <c r="K156" s="36" t="s">
        <v>893</v>
      </c>
      <c r="L156" s="37">
        <v>1044268.93</v>
      </c>
      <c r="M156" s="271">
        <v>1044270</v>
      </c>
      <c r="N156" s="34" t="s">
        <v>899</v>
      </c>
      <c r="O156" s="34" t="s">
        <v>1198</v>
      </c>
      <c r="P156" s="272" t="s">
        <v>1199</v>
      </c>
    </row>
    <row r="157" spans="1:16" x14ac:dyDescent="0.25">
      <c r="A157" s="270" t="s">
        <v>411</v>
      </c>
      <c r="B157" s="31" t="s">
        <v>410</v>
      </c>
      <c r="C157" s="31" t="s">
        <v>412</v>
      </c>
      <c r="D157" s="31" t="s">
        <v>417</v>
      </c>
      <c r="E157" s="31" t="s">
        <v>147</v>
      </c>
      <c r="F157" s="31" t="s">
        <v>696</v>
      </c>
      <c r="G157" s="33" t="s">
        <v>583</v>
      </c>
      <c r="H157" s="33" t="s">
        <v>603</v>
      </c>
      <c r="I157" s="36" t="s">
        <v>553</v>
      </c>
      <c r="J157" s="36" t="s">
        <v>889</v>
      </c>
      <c r="K157" s="36" t="s">
        <v>894</v>
      </c>
      <c r="L157" s="37">
        <v>506594.9</v>
      </c>
      <c r="M157" s="271">
        <v>506595</v>
      </c>
      <c r="N157" s="34" t="s">
        <v>899</v>
      </c>
      <c r="O157" s="34" t="s">
        <v>1198</v>
      </c>
      <c r="P157" s="272" t="s">
        <v>1199</v>
      </c>
    </row>
    <row r="158" spans="1:16" x14ac:dyDescent="0.25">
      <c r="A158" s="270" t="s">
        <v>411</v>
      </c>
      <c r="B158" s="31" t="s">
        <v>410</v>
      </c>
      <c r="C158" s="31" t="s">
        <v>412</v>
      </c>
      <c r="D158" s="31" t="s">
        <v>417</v>
      </c>
      <c r="E158" s="31" t="s">
        <v>147</v>
      </c>
      <c r="F158" s="31" t="s">
        <v>696</v>
      </c>
      <c r="G158" s="33" t="s">
        <v>583</v>
      </c>
      <c r="H158" s="33" t="s">
        <v>603</v>
      </c>
      <c r="I158" s="36" t="s">
        <v>553</v>
      </c>
      <c r="J158" s="36" t="s">
        <v>582</v>
      </c>
      <c r="K158" s="36" t="s">
        <v>896</v>
      </c>
      <c r="L158" s="37">
        <v>2885587.89</v>
      </c>
      <c r="M158" s="271">
        <v>2885590</v>
      </c>
      <c r="N158" s="34" t="s">
        <v>899</v>
      </c>
      <c r="O158" s="34" t="s">
        <v>1198</v>
      </c>
      <c r="P158" s="272" t="s">
        <v>1199</v>
      </c>
    </row>
    <row r="159" spans="1:16" x14ac:dyDescent="0.25">
      <c r="A159" s="270" t="s">
        <v>411</v>
      </c>
      <c r="B159" s="31" t="s">
        <v>410</v>
      </c>
      <c r="C159" s="31" t="s">
        <v>412</v>
      </c>
      <c r="D159" s="31" t="s">
        <v>417</v>
      </c>
      <c r="E159" s="31" t="s">
        <v>147</v>
      </c>
      <c r="F159" s="31" t="s">
        <v>696</v>
      </c>
      <c r="G159" s="33" t="s">
        <v>583</v>
      </c>
      <c r="H159" s="33" t="s">
        <v>603</v>
      </c>
      <c r="I159" s="36" t="s">
        <v>553</v>
      </c>
      <c r="J159" s="36" t="s">
        <v>881</v>
      </c>
      <c r="K159" s="36" t="s">
        <v>897</v>
      </c>
      <c r="L159" s="37">
        <v>573468.44999999995</v>
      </c>
      <c r="M159" s="271">
        <v>573470</v>
      </c>
      <c r="N159" s="34" t="s">
        <v>899</v>
      </c>
      <c r="O159" s="34" t="s">
        <v>1198</v>
      </c>
      <c r="P159" s="272" t="s">
        <v>1199</v>
      </c>
    </row>
    <row r="160" spans="1:16" x14ac:dyDescent="0.25">
      <c r="A160" s="270" t="s">
        <v>411</v>
      </c>
      <c r="B160" s="31" t="s">
        <v>410</v>
      </c>
      <c r="C160" s="31" t="s">
        <v>412</v>
      </c>
      <c r="D160" s="31" t="s">
        <v>417</v>
      </c>
      <c r="E160" s="31" t="s">
        <v>147</v>
      </c>
      <c r="F160" s="31" t="s">
        <v>696</v>
      </c>
      <c r="G160" s="33" t="s">
        <v>583</v>
      </c>
      <c r="H160" s="33" t="s">
        <v>603</v>
      </c>
      <c r="I160" s="36" t="s">
        <v>555</v>
      </c>
      <c r="J160" s="36" t="s">
        <v>579</v>
      </c>
      <c r="K160" s="36" t="s">
        <v>891</v>
      </c>
      <c r="L160" s="37">
        <v>2426399</v>
      </c>
      <c r="M160" s="271">
        <v>2426400</v>
      </c>
      <c r="N160" s="34" t="s">
        <v>899</v>
      </c>
      <c r="O160" s="34" t="s">
        <v>1198</v>
      </c>
      <c r="P160" s="272" t="s">
        <v>1199</v>
      </c>
    </row>
    <row r="161" spans="1:16" x14ac:dyDescent="0.25">
      <c r="A161" s="270" t="s">
        <v>411</v>
      </c>
      <c r="B161" s="31" t="s">
        <v>410</v>
      </c>
      <c r="C161" s="31" t="s">
        <v>412</v>
      </c>
      <c r="D161" s="31" t="s">
        <v>417</v>
      </c>
      <c r="E161" s="31" t="s">
        <v>147</v>
      </c>
      <c r="F161" s="31" t="s">
        <v>696</v>
      </c>
      <c r="G161" s="33" t="s">
        <v>583</v>
      </c>
      <c r="H161" s="33" t="s">
        <v>603</v>
      </c>
      <c r="I161" s="36" t="s">
        <v>555</v>
      </c>
      <c r="J161" s="36" t="s">
        <v>577</v>
      </c>
      <c r="K161" s="36" t="s">
        <v>1197</v>
      </c>
      <c r="L161" s="37">
        <v>2725789.43</v>
      </c>
      <c r="M161" s="271">
        <v>2725795</v>
      </c>
      <c r="N161" s="34" t="s">
        <v>899</v>
      </c>
      <c r="O161" s="34" t="s">
        <v>1198</v>
      </c>
      <c r="P161" s="272" t="s">
        <v>1199</v>
      </c>
    </row>
    <row r="162" spans="1:16" x14ac:dyDescent="0.25">
      <c r="A162" s="270" t="s">
        <v>411</v>
      </c>
      <c r="B162" s="31" t="s">
        <v>410</v>
      </c>
      <c r="C162" s="31" t="s">
        <v>412</v>
      </c>
      <c r="D162" s="31" t="s">
        <v>417</v>
      </c>
      <c r="E162" s="31" t="s">
        <v>147</v>
      </c>
      <c r="F162" s="31" t="s">
        <v>696</v>
      </c>
      <c r="G162" s="33" t="s">
        <v>583</v>
      </c>
      <c r="H162" s="33" t="s">
        <v>603</v>
      </c>
      <c r="I162" s="36" t="s">
        <v>555</v>
      </c>
      <c r="J162" s="36" t="s">
        <v>578</v>
      </c>
      <c r="K162" s="36" t="s">
        <v>890</v>
      </c>
      <c r="L162" s="37">
        <v>1144961.6100000001</v>
      </c>
      <c r="M162" s="271">
        <v>1144965</v>
      </c>
      <c r="N162" s="34" t="s">
        <v>899</v>
      </c>
      <c r="O162" s="34" t="s">
        <v>1198</v>
      </c>
      <c r="P162" s="272" t="s">
        <v>1199</v>
      </c>
    </row>
    <row r="163" spans="1:16" x14ac:dyDescent="0.25">
      <c r="A163" s="270" t="s">
        <v>411</v>
      </c>
      <c r="B163" s="31" t="s">
        <v>410</v>
      </c>
      <c r="C163" s="31" t="s">
        <v>412</v>
      </c>
      <c r="D163" s="31" t="s">
        <v>417</v>
      </c>
      <c r="E163" s="31" t="s">
        <v>147</v>
      </c>
      <c r="F163" s="31" t="s">
        <v>696</v>
      </c>
      <c r="G163" s="33" t="s">
        <v>583</v>
      </c>
      <c r="H163" s="33" t="s">
        <v>603</v>
      </c>
      <c r="I163" s="36" t="s">
        <v>555</v>
      </c>
      <c r="J163" s="36" t="s">
        <v>875</v>
      </c>
      <c r="K163" s="36" t="s">
        <v>895</v>
      </c>
      <c r="L163" s="37">
        <v>1887516.09</v>
      </c>
      <c r="M163" s="271">
        <v>1887520</v>
      </c>
      <c r="N163" s="34" t="s">
        <v>899</v>
      </c>
      <c r="O163" s="34" t="s">
        <v>1198</v>
      </c>
      <c r="P163" s="272" t="s">
        <v>1199</v>
      </c>
    </row>
    <row r="164" spans="1:16" x14ac:dyDescent="0.25">
      <c r="A164" s="270" t="s">
        <v>411</v>
      </c>
      <c r="B164" s="31" t="s">
        <v>410</v>
      </c>
      <c r="C164" s="31" t="s">
        <v>412</v>
      </c>
      <c r="D164" s="31" t="s">
        <v>417</v>
      </c>
      <c r="E164" s="31" t="s">
        <v>148</v>
      </c>
      <c r="F164" s="31" t="s">
        <v>149</v>
      </c>
      <c r="G164" s="33" t="s">
        <v>583</v>
      </c>
      <c r="H164" s="33" t="s">
        <v>603</v>
      </c>
      <c r="I164" s="36" t="s">
        <v>552</v>
      </c>
      <c r="J164" s="36" t="s">
        <v>591</v>
      </c>
      <c r="K164" s="36" t="s">
        <v>1016</v>
      </c>
      <c r="L164" s="37">
        <v>50836.800000000003</v>
      </c>
      <c r="M164" s="271">
        <v>50840</v>
      </c>
      <c r="N164" s="34" t="s">
        <v>899</v>
      </c>
      <c r="O164" s="34" t="s">
        <v>1198</v>
      </c>
      <c r="P164" s="272" t="s">
        <v>1199</v>
      </c>
    </row>
    <row r="165" spans="1:16" x14ac:dyDescent="0.25">
      <c r="A165" s="270" t="s">
        <v>411</v>
      </c>
      <c r="B165" s="31" t="s">
        <v>410</v>
      </c>
      <c r="C165" s="31" t="s">
        <v>412</v>
      </c>
      <c r="D165" s="31" t="s">
        <v>417</v>
      </c>
      <c r="E165" s="31" t="s">
        <v>148</v>
      </c>
      <c r="F165" s="31" t="s">
        <v>149</v>
      </c>
      <c r="G165" s="33" t="s">
        <v>583</v>
      </c>
      <c r="H165" s="33" t="s">
        <v>603</v>
      </c>
      <c r="I165" s="36" t="s">
        <v>552</v>
      </c>
      <c r="J165" s="36" t="s">
        <v>580</v>
      </c>
      <c r="K165" s="36" t="s">
        <v>892</v>
      </c>
      <c r="L165" s="37">
        <v>770104.69</v>
      </c>
      <c r="M165" s="271">
        <v>770110</v>
      </c>
      <c r="N165" s="34" t="s">
        <v>899</v>
      </c>
      <c r="O165" s="34" t="s">
        <v>1198</v>
      </c>
      <c r="P165" s="272" t="s">
        <v>1199</v>
      </c>
    </row>
    <row r="166" spans="1:16" x14ac:dyDescent="0.25">
      <c r="A166" s="270" t="s">
        <v>411</v>
      </c>
      <c r="B166" s="31" t="s">
        <v>410</v>
      </c>
      <c r="C166" s="31" t="s">
        <v>412</v>
      </c>
      <c r="D166" s="31" t="s">
        <v>417</v>
      </c>
      <c r="E166" s="31" t="s">
        <v>148</v>
      </c>
      <c r="F166" s="31" t="s">
        <v>149</v>
      </c>
      <c r="G166" s="33" t="s">
        <v>583</v>
      </c>
      <c r="H166" s="33" t="s">
        <v>603</v>
      </c>
      <c r="I166" s="36" t="s">
        <v>553</v>
      </c>
      <c r="J166" s="36" t="s">
        <v>581</v>
      </c>
      <c r="K166" s="36" t="s">
        <v>893</v>
      </c>
      <c r="L166" s="37">
        <v>347430.97</v>
      </c>
      <c r="M166" s="271">
        <v>347435</v>
      </c>
      <c r="N166" s="34" t="s">
        <v>899</v>
      </c>
      <c r="O166" s="34" t="s">
        <v>1198</v>
      </c>
      <c r="P166" s="272" t="s">
        <v>1199</v>
      </c>
    </row>
    <row r="167" spans="1:16" x14ac:dyDescent="0.25">
      <c r="A167" s="270" t="s">
        <v>411</v>
      </c>
      <c r="B167" s="31" t="s">
        <v>410</v>
      </c>
      <c r="C167" s="31" t="s">
        <v>412</v>
      </c>
      <c r="D167" s="31" t="s">
        <v>417</v>
      </c>
      <c r="E167" s="31" t="s">
        <v>148</v>
      </c>
      <c r="F167" s="31" t="s">
        <v>149</v>
      </c>
      <c r="G167" s="33" t="s">
        <v>583</v>
      </c>
      <c r="H167" s="33" t="s">
        <v>603</v>
      </c>
      <c r="I167" s="36" t="s">
        <v>553</v>
      </c>
      <c r="J167" s="36" t="s">
        <v>889</v>
      </c>
      <c r="K167" s="36" t="s">
        <v>894</v>
      </c>
      <c r="L167" s="37">
        <v>168545.43</v>
      </c>
      <c r="M167" s="271">
        <v>168550</v>
      </c>
      <c r="N167" s="34" t="s">
        <v>899</v>
      </c>
      <c r="O167" s="34" t="s">
        <v>1198</v>
      </c>
      <c r="P167" s="272" t="s">
        <v>1199</v>
      </c>
    </row>
    <row r="168" spans="1:16" x14ac:dyDescent="0.25">
      <c r="A168" s="270" t="s">
        <v>411</v>
      </c>
      <c r="B168" s="31" t="s">
        <v>410</v>
      </c>
      <c r="C168" s="31" t="s">
        <v>412</v>
      </c>
      <c r="D168" s="31" t="s">
        <v>417</v>
      </c>
      <c r="E168" s="31" t="s">
        <v>148</v>
      </c>
      <c r="F168" s="31" t="s">
        <v>149</v>
      </c>
      <c r="G168" s="33" t="s">
        <v>583</v>
      </c>
      <c r="H168" s="33" t="s">
        <v>603</v>
      </c>
      <c r="I168" s="36" t="s">
        <v>553</v>
      </c>
      <c r="J168" s="36" t="s">
        <v>582</v>
      </c>
      <c r="K168" s="36" t="s">
        <v>896</v>
      </c>
      <c r="L168" s="37">
        <v>960042.55</v>
      </c>
      <c r="M168" s="271">
        <v>960045</v>
      </c>
      <c r="N168" s="34" t="s">
        <v>899</v>
      </c>
      <c r="O168" s="34" t="s">
        <v>1198</v>
      </c>
      <c r="P168" s="272" t="s">
        <v>1199</v>
      </c>
    </row>
    <row r="169" spans="1:16" x14ac:dyDescent="0.25">
      <c r="A169" s="270" t="s">
        <v>411</v>
      </c>
      <c r="B169" s="31" t="s">
        <v>410</v>
      </c>
      <c r="C169" s="31" t="s">
        <v>412</v>
      </c>
      <c r="D169" s="31" t="s">
        <v>417</v>
      </c>
      <c r="E169" s="31" t="s">
        <v>148</v>
      </c>
      <c r="F169" s="31" t="s">
        <v>149</v>
      </c>
      <c r="G169" s="33" t="s">
        <v>583</v>
      </c>
      <c r="H169" s="33" t="s">
        <v>603</v>
      </c>
      <c r="I169" s="36" t="s">
        <v>553</v>
      </c>
      <c r="J169" s="36" t="s">
        <v>881</v>
      </c>
      <c r="K169" s="36" t="s">
        <v>897</v>
      </c>
      <c r="L169" s="37">
        <v>190794.44</v>
      </c>
      <c r="M169" s="271">
        <v>190795</v>
      </c>
      <c r="N169" s="34" t="s">
        <v>899</v>
      </c>
      <c r="O169" s="34" t="s">
        <v>1198</v>
      </c>
      <c r="P169" s="272" t="s">
        <v>1199</v>
      </c>
    </row>
    <row r="170" spans="1:16" x14ac:dyDescent="0.25">
      <c r="A170" s="270" t="s">
        <v>411</v>
      </c>
      <c r="B170" s="31" t="s">
        <v>410</v>
      </c>
      <c r="C170" s="31" t="s">
        <v>412</v>
      </c>
      <c r="D170" s="31" t="s">
        <v>417</v>
      </c>
      <c r="E170" s="31" t="s">
        <v>148</v>
      </c>
      <c r="F170" s="31" t="s">
        <v>149</v>
      </c>
      <c r="G170" s="33" t="s">
        <v>583</v>
      </c>
      <c r="H170" s="33" t="s">
        <v>603</v>
      </c>
      <c r="I170" s="36" t="s">
        <v>555</v>
      </c>
      <c r="J170" s="36" t="s">
        <v>579</v>
      </c>
      <c r="K170" s="36" t="s">
        <v>891</v>
      </c>
      <c r="L170" s="37">
        <v>807269.22</v>
      </c>
      <c r="M170" s="271">
        <v>807275</v>
      </c>
      <c r="N170" s="34" t="s">
        <v>899</v>
      </c>
      <c r="O170" s="34" t="s">
        <v>1198</v>
      </c>
      <c r="P170" s="272" t="s">
        <v>1199</v>
      </c>
    </row>
    <row r="171" spans="1:16" x14ac:dyDescent="0.25">
      <c r="A171" s="270" t="s">
        <v>411</v>
      </c>
      <c r="B171" s="31" t="s">
        <v>410</v>
      </c>
      <c r="C171" s="31" t="s">
        <v>412</v>
      </c>
      <c r="D171" s="31" t="s">
        <v>417</v>
      </c>
      <c r="E171" s="31" t="s">
        <v>148</v>
      </c>
      <c r="F171" s="31" t="s">
        <v>149</v>
      </c>
      <c r="G171" s="33" t="s">
        <v>583</v>
      </c>
      <c r="H171" s="33" t="s">
        <v>603</v>
      </c>
      <c r="I171" s="36" t="s">
        <v>555</v>
      </c>
      <c r="J171" s="36" t="s">
        <v>577</v>
      </c>
      <c r="K171" s="36" t="s">
        <v>1197</v>
      </c>
      <c r="L171" s="37">
        <v>906877.19</v>
      </c>
      <c r="M171" s="271">
        <v>906880</v>
      </c>
      <c r="N171" s="34" t="s">
        <v>899</v>
      </c>
      <c r="O171" s="34" t="s">
        <v>1198</v>
      </c>
      <c r="P171" s="272" t="s">
        <v>1199</v>
      </c>
    </row>
    <row r="172" spans="1:16" x14ac:dyDescent="0.25">
      <c r="A172" s="270" t="s">
        <v>411</v>
      </c>
      <c r="B172" s="31" t="s">
        <v>410</v>
      </c>
      <c r="C172" s="31" t="s">
        <v>412</v>
      </c>
      <c r="D172" s="31" t="s">
        <v>417</v>
      </c>
      <c r="E172" s="31" t="s">
        <v>148</v>
      </c>
      <c r="F172" s="31" t="s">
        <v>149</v>
      </c>
      <c r="G172" s="33" t="s">
        <v>583</v>
      </c>
      <c r="H172" s="33" t="s">
        <v>603</v>
      </c>
      <c r="I172" s="36" t="s">
        <v>555</v>
      </c>
      <c r="J172" s="36" t="s">
        <v>578</v>
      </c>
      <c r="K172" s="36" t="s">
        <v>890</v>
      </c>
      <c r="L172" s="37">
        <v>380931.69</v>
      </c>
      <c r="M172" s="271">
        <v>380935</v>
      </c>
      <c r="N172" s="34" t="s">
        <v>899</v>
      </c>
      <c r="O172" s="34" t="s">
        <v>1198</v>
      </c>
      <c r="P172" s="272" t="s">
        <v>1199</v>
      </c>
    </row>
    <row r="173" spans="1:16" x14ac:dyDescent="0.25">
      <c r="A173" s="270" t="s">
        <v>411</v>
      </c>
      <c r="B173" s="31" t="s">
        <v>410</v>
      </c>
      <c r="C173" s="31" t="s">
        <v>412</v>
      </c>
      <c r="D173" s="31" t="s">
        <v>417</v>
      </c>
      <c r="E173" s="31" t="s">
        <v>148</v>
      </c>
      <c r="F173" s="31" t="s">
        <v>149</v>
      </c>
      <c r="G173" s="33" t="s">
        <v>583</v>
      </c>
      <c r="H173" s="33" t="s">
        <v>603</v>
      </c>
      <c r="I173" s="36" t="s">
        <v>555</v>
      </c>
      <c r="J173" s="36" t="s">
        <v>875</v>
      </c>
      <c r="K173" s="36" t="s">
        <v>895</v>
      </c>
      <c r="L173" s="37">
        <v>627981.48</v>
      </c>
      <c r="M173" s="271">
        <v>627985</v>
      </c>
      <c r="N173" s="34" t="s">
        <v>899</v>
      </c>
      <c r="O173" s="34" t="s">
        <v>1198</v>
      </c>
      <c r="P173" s="272" t="s">
        <v>1199</v>
      </c>
    </row>
    <row r="174" spans="1:16" x14ac:dyDescent="0.25">
      <c r="A174" s="270" t="s">
        <v>411</v>
      </c>
      <c r="B174" s="31" t="s">
        <v>410</v>
      </c>
      <c r="C174" s="31" t="s">
        <v>412</v>
      </c>
      <c r="D174" s="31" t="s">
        <v>417</v>
      </c>
      <c r="E174" s="31" t="s">
        <v>150</v>
      </c>
      <c r="F174" s="31" t="s">
        <v>695</v>
      </c>
      <c r="G174" s="33" t="s">
        <v>583</v>
      </c>
      <c r="H174" s="33" t="s">
        <v>603</v>
      </c>
      <c r="I174" s="36" t="s">
        <v>552</v>
      </c>
      <c r="J174" s="36" t="s">
        <v>591</v>
      </c>
      <c r="K174" s="36" t="s">
        <v>1016</v>
      </c>
      <c r="L174" s="37">
        <v>6354.6</v>
      </c>
      <c r="M174" s="271">
        <v>6355</v>
      </c>
      <c r="N174" s="34" t="s">
        <v>899</v>
      </c>
      <c r="O174" s="34" t="s">
        <v>1198</v>
      </c>
      <c r="P174" s="272" t="s">
        <v>1199</v>
      </c>
    </row>
    <row r="175" spans="1:16" x14ac:dyDescent="0.25">
      <c r="A175" s="270" t="s">
        <v>411</v>
      </c>
      <c r="B175" s="31" t="s">
        <v>410</v>
      </c>
      <c r="C175" s="31" t="s">
        <v>412</v>
      </c>
      <c r="D175" s="31" t="s">
        <v>417</v>
      </c>
      <c r="E175" s="31" t="s">
        <v>150</v>
      </c>
      <c r="F175" s="31" t="s">
        <v>695</v>
      </c>
      <c r="G175" s="33" t="s">
        <v>583</v>
      </c>
      <c r="H175" s="33" t="s">
        <v>603</v>
      </c>
      <c r="I175" s="36" t="s">
        <v>552</v>
      </c>
      <c r="J175" s="36" t="s">
        <v>580</v>
      </c>
      <c r="K175" s="36" t="s">
        <v>892</v>
      </c>
      <c r="L175" s="37">
        <v>96263.09</v>
      </c>
      <c r="M175" s="271">
        <v>96260</v>
      </c>
      <c r="N175" s="34" t="s">
        <v>899</v>
      </c>
      <c r="O175" s="34" t="s">
        <v>1198</v>
      </c>
      <c r="P175" s="272" t="s">
        <v>1199</v>
      </c>
    </row>
    <row r="176" spans="1:16" x14ac:dyDescent="0.25">
      <c r="A176" s="270" t="s">
        <v>411</v>
      </c>
      <c r="B176" s="31" t="s">
        <v>410</v>
      </c>
      <c r="C176" s="31" t="s">
        <v>412</v>
      </c>
      <c r="D176" s="31" t="s">
        <v>417</v>
      </c>
      <c r="E176" s="31" t="s">
        <v>150</v>
      </c>
      <c r="F176" s="31" t="s">
        <v>695</v>
      </c>
      <c r="G176" s="33" t="s">
        <v>583</v>
      </c>
      <c r="H176" s="33" t="s">
        <v>603</v>
      </c>
      <c r="I176" s="36" t="s">
        <v>553</v>
      </c>
      <c r="J176" s="36" t="s">
        <v>581</v>
      </c>
      <c r="K176" s="36" t="s">
        <v>893</v>
      </c>
      <c r="L176" s="37">
        <v>43428.87</v>
      </c>
      <c r="M176" s="271">
        <v>43430</v>
      </c>
      <c r="N176" s="34" t="s">
        <v>899</v>
      </c>
      <c r="O176" s="34" t="s">
        <v>1198</v>
      </c>
      <c r="P176" s="272" t="s">
        <v>1199</v>
      </c>
    </row>
    <row r="177" spans="1:16" x14ac:dyDescent="0.25">
      <c r="A177" s="270" t="s">
        <v>411</v>
      </c>
      <c r="B177" s="31" t="s">
        <v>410</v>
      </c>
      <c r="C177" s="31" t="s">
        <v>412</v>
      </c>
      <c r="D177" s="31" t="s">
        <v>417</v>
      </c>
      <c r="E177" s="31" t="s">
        <v>150</v>
      </c>
      <c r="F177" s="31" t="s">
        <v>695</v>
      </c>
      <c r="G177" s="33" t="s">
        <v>583</v>
      </c>
      <c r="H177" s="33" t="s">
        <v>603</v>
      </c>
      <c r="I177" s="36" t="s">
        <v>553</v>
      </c>
      <c r="J177" s="36" t="s">
        <v>889</v>
      </c>
      <c r="K177" s="36" t="s">
        <v>894</v>
      </c>
      <c r="L177" s="37">
        <v>21068.18</v>
      </c>
      <c r="M177" s="271">
        <v>21070</v>
      </c>
      <c r="N177" s="34" t="s">
        <v>899</v>
      </c>
      <c r="O177" s="34" t="s">
        <v>1198</v>
      </c>
      <c r="P177" s="272" t="s">
        <v>1199</v>
      </c>
    </row>
    <row r="178" spans="1:16" x14ac:dyDescent="0.25">
      <c r="A178" s="270" t="s">
        <v>411</v>
      </c>
      <c r="B178" s="31" t="s">
        <v>410</v>
      </c>
      <c r="C178" s="31" t="s">
        <v>412</v>
      </c>
      <c r="D178" s="31" t="s">
        <v>417</v>
      </c>
      <c r="E178" s="31" t="s">
        <v>150</v>
      </c>
      <c r="F178" s="31" t="s">
        <v>695</v>
      </c>
      <c r="G178" s="33" t="s">
        <v>583</v>
      </c>
      <c r="H178" s="33" t="s">
        <v>603</v>
      </c>
      <c r="I178" s="36" t="s">
        <v>553</v>
      </c>
      <c r="J178" s="36" t="s">
        <v>582</v>
      </c>
      <c r="K178" s="36" t="s">
        <v>896</v>
      </c>
      <c r="L178" s="37">
        <v>120005.32</v>
      </c>
      <c r="M178" s="271">
        <v>120005</v>
      </c>
      <c r="N178" s="34" t="s">
        <v>899</v>
      </c>
      <c r="O178" s="34" t="s">
        <v>1198</v>
      </c>
      <c r="P178" s="272" t="s">
        <v>1199</v>
      </c>
    </row>
    <row r="179" spans="1:16" x14ac:dyDescent="0.25">
      <c r="A179" s="270" t="s">
        <v>411</v>
      </c>
      <c r="B179" s="31" t="s">
        <v>410</v>
      </c>
      <c r="C179" s="31" t="s">
        <v>412</v>
      </c>
      <c r="D179" s="31" t="s">
        <v>417</v>
      </c>
      <c r="E179" s="31" t="s">
        <v>150</v>
      </c>
      <c r="F179" s="31" t="s">
        <v>695</v>
      </c>
      <c r="G179" s="33" t="s">
        <v>583</v>
      </c>
      <c r="H179" s="33" t="s">
        <v>603</v>
      </c>
      <c r="I179" s="36" t="s">
        <v>553</v>
      </c>
      <c r="J179" s="36" t="s">
        <v>881</v>
      </c>
      <c r="K179" s="36" t="s">
        <v>897</v>
      </c>
      <c r="L179" s="37">
        <v>23849.3</v>
      </c>
      <c r="M179" s="271">
        <v>23850</v>
      </c>
      <c r="N179" s="34" t="s">
        <v>899</v>
      </c>
      <c r="O179" s="34" t="s">
        <v>1198</v>
      </c>
      <c r="P179" s="272" t="s">
        <v>1199</v>
      </c>
    </row>
    <row r="180" spans="1:16" x14ac:dyDescent="0.25">
      <c r="A180" s="270" t="s">
        <v>411</v>
      </c>
      <c r="B180" s="31" t="s">
        <v>410</v>
      </c>
      <c r="C180" s="31" t="s">
        <v>412</v>
      </c>
      <c r="D180" s="31" t="s">
        <v>417</v>
      </c>
      <c r="E180" s="31" t="s">
        <v>150</v>
      </c>
      <c r="F180" s="31" t="s">
        <v>695</v>
      </c>
      <c r="G180" s="33" t="s">
        <v>583</v>
      </c>
      <c r="H180" s="33" t="s">
        <v>603</v>
      </c>
      <c r="I180" s="36" t="s">
        <v>555</v>
      </c>
      <c r="J180" s="36" t="s">
        <v>579</v>
      </c>
      <c r="K180" s="36" t="s">
        <v>891</v>
      </c>
      <c r="L180" s="37">
        <v>100908.65</v>
      </c>
      <c r="M180" s="271">
        <v>100910</v>
      </c>
      <c r="N180" s="34" t="s">
        <v>899</v>
      </c>
      <c r="O180" s="34" t="s">
        <v>1198</v>
      </c>
      <c r="P180" s="272" t="s">
        <v>1199</v>
      </c>
    </row>
    <row r="181" spans="1:16" x14ac:dyDescent="0.25">
      <c r="A181" s="270" t="s">
        <v>411</v>
      </c>
      <c r="B181" s="31" t="s">
        <v>410</v>
      </c>
      <c r="C181" s="31" t="s">
        <v>412</v>
      </c>
      <c r="D181" s="31" t="s">
        <v>417</v>
      </c>
      <c r="E181" s="31" t="s">
        <v>150</v>
      </c>
      <c r="F181" s="31" t="s">
        <v>695</v>
      </c>
      <c r="G181" s="33" t="s">
        <v>583</v>
      </c>
      <c r="H181" s="33" t="s">
        <v>603</v>
      </c>
      <c r="I181" s="36" t="s">
        <v>555</v>
      </c>
      <c r="J181" s="36" t="s">
        <v>577</v>
      </c>
      <c r="K181" s="36" t="s">
        <v>1197</v>
      </c>
      <c r="L181" s="37">
        <v>113359.65</v>
      </c>
      <c r="M181" s="271">
        <v>113360</v>
      </c>
      <c r="N181" s="34" t="s">
        <v>899</v>
      </c>
      <c r="O181" s="34" t="s">
        <v>1198</v>
      </c>
      <c r="P181" s="272" t="s">
        <v>1199</v>
      </c>
    </row>
    <row r="182" spans="1:16" x14ac:dyDescent="0.25">
      <c r="A182" s="270" t="s">
        <v>411</v>
      </c>
      <c r="B182" s="31" t="s">
        <v>410</v>
      </c>
      <c r="C182" s="31" t="s">
        <v>412</v>
      </c>
      <c r="D182" s="31" t="s">
        <v>417</v>
      </c>
      <c r="E182" s="31" t="s">
        <v>150</v>
      </c>
      <c r="F182" s="31" t="s">
        <v>695</v>
      </c>
      <c r="G182" s="33" t="s">
        <v>583</v>
      </c>
      <c r="H182" s="33" t="s">
        <v>603</v>
      </c>
      <c r="I182" s="36" t="s">
        <v>555</v>
      </c>
      <c r="J182" s="36" t="s">
        <v>578</v>
      </c>
      <c r="K182" s="36" t="s">
        <v>890</v>
      </c>
      <c r="L182" s="37">
        <v>47616.46</v>
      </c>
      <c r="M182" s="271">
        <v>47615</v>
      </c>
      <c r="N182" s="34" t="s">
        <v>899</v>
      </c>
      <c r="O182" s="34" t="s">
        <v>1198</v>
      </c>
      <c r="P182" s="272" t="s">
        <v>1199</v>
      </c>
    </row>
    <row r="183" spans="1:16" x14ac:dyDescent="0.25">
      <c r="A183" s="270" t="s">
        <v>411</v>
      </c>
      <c r="B183" s="31" t="s">
        <v>410</v>
      </c>
      <c r="C183" s="31" t="s">
        <v>412</v>
      </c>
      <c r="D183" s="31" t="s">
        <v>417</v>
      </c>
      <c r="E183" s="31" t="s">
        <v>150</v>
      </c>
      <c r="F183" s="31" t="s">
        <v>695</v>
      </c>
      <c r="G183" s="33" t="s">
        <v>583</v>
      </c>
      <c r="H183" s="33" t="s">
        <v>603</v>
      </c>
      <c r="I183" s="36" t="s">
        <v>555</v>
      </c>
      <c r="J183" s="36" t="s">
        <v>875</v>
      </c>
      <c r="K183" s="36" t="s">
        <v>895</v>
      </c>
      <c r="L183" s="37">
        <v>78497.69</v>
      </c>
      <c r="M183" s="271">
        <v>78495</v>
      </c>
      <c r="N183" s="34" t="s">
        <v>899</v>
      </c>
      <c r="O183" s="34" t="s">
        <v>1198</v>
      </c>
      <c r="P183" s="272" t="s">
        <v>1199</v>
      </c>
    </row>
    <row r="184" spans="1:16" x14ac:dyDescent="0.25">
      <c r="A184" s="270" t="s">
        <v>411</v>
      </c>
      <c r="B184" s="31" t="s">
        <v>410</v>
      </c>
      <c r="C184" s="31" t="s">
        <v>418</v>
      </c>
      <c r="D184" s="31" t="s">
        <v>419</v>
      </c>
      <c r="E184" s="31" t="s">
        <v>155</v>
      </c>
      <c r="F184" s="31" t="s">
        <v>420</v>
      </c>
      <c r="G184" s="33" t="s">
        <v>583</v>
      </c>
      <c r="H184" s="33" t="s">
        <v>603</v>
      </c>
      <c r="I184" s="36" t="s">
        <v>552</v>
      </c>
      <c r="J184" s="36" t="s">
        <v>591</v>
      </c>
      <c r="K184" s="36" t="s">
        <v>1016</v>
      </c>
      <c r="L184" s="37">
        <v>0</v>
      </c>
      <c r="M184" s="271">
        <v>0</v>
      </c>
      <c r="N184" s="34" t="s">
        <v>899</v>
      </c>
      <c r="O184" s="34" t="s">
        <v>1198</v>
      </c>
      <c r="P184" s="272" t="s">
        <v>1207</v>
      </c>
    </row>
    <row r="185" spans="1:16" x14ac:dyDescent="0.25">
      <c r="A185" s="270" t="s">
        <v>411</v>
      </c>
      <c r="B185" s="31" t="s">
        <v>410</v>
      </c>
      <c r="C185" s="31" t="s">
        <v>418</v>
      </c>
      <c r="D185" s="31" t="s">
        <v>419</v>
      </c>
      <c r="E185" s="31" t="s">
        <v>155</v>
      </c>
      <c r="F185" s="31" t="s">
        <v>420</v>
      </c>
      <c r="G185" s="33" t="s">
        <v>583</v>
      </c>
      <c r="H185" s="33" t="s">
        <v>603</v>
      </c>
      <c r="I185" s="36" t="s">
        <v>552</v>
      </c>
      <c r="J185" s="36" t="s">
        <v>580</v>
      </c>
      <c r="K185" s="36" t="s">
        <v>892</v>
      </c>
      <c r="L185" s="37">
        <v>0</v>
      </c>
      <c r="M185" s="271">
        <v>0</v>
      </c>
      <c r="N185" s="34" t="s">
        <v>899</v>
      </c>
      <c r="O185" s="34" t="s">
        <v>1198</v>
      </c>
      <c r="P185" s="272" t="s">
        <v>1207</v>
      </c>
    </row>
    <row r="186" spans="1:16" x14ac:dyDescent="0.25">
      <c r="A186" s="270" t="s">
        <v>411</v>
      </c>
      <c r="B186" s="31" t="s">
        <v>410</v>
      </c>
      <c r="C186" s="31" t="s">
        <v>418</v>
      </c>
      <c r="D186" s="31" t="s">
        <v>419</v>
      </c>
      <c r="E186" s="31" t="s">
        <v>155</v>
      </c>
      <c r="F186" s="31" t="s">
        <v>420</v>
      </c>
      <c r="G186" s="33" t="s">
        <v>583</v>
      </c>
      <c r="H186" s="33" t="s">
        <v>603</v>
      </c>
      <c r="I186" s="36" t="s">
        <v>553</v>
      </c>
      <c r="J186" s="36" t="s">
        <v>581</v>
      </c>
      <c r="K186" s="36" t="s">
        <v>893</v>
      </c>
      <c r="L186" s="37">
        <v>0</v>
      </c>
      <c r="M186" s="271">
        <v>0</v>
      </c>
      <c r="N186" s="34" t="s">
        <v>899</v>
      </c>
      <c r="O186" s="34" t="s">
        <v>1198</v>
      </c>
      <c r="P186" s="272" t="s">
        <v>1207</v>
      </c>
    </row>
    <row r="187" spans="1:16" x14ac:dyDescent="0.25">
      <c r="A187" s="270" t="s">
        <v>411</v>
      </c>
      <c r="B187" s="31" t="s">
        <v>410</v>
      </c>
      <c r="C187" s="31" t="s">
        <v>418</v>
      </c>
      <c r="D187" s="31" t="s">
        <v>419</v>
      </c>
      <c r="E187" s="31" t="s">
        <v>155</v>
      </c>
      <c r="F187" s="31" t="s">
        <v>420</v>
      </c>
      <c r="G187" s="33" t="s">
        <v>583</v>
      </c>
      <c r="H187" s="33" t="s">
        <v>603</v>
      </c>
      <c r="I187" s="36" t="s">
        <v>553</v>
      </c>
      <c r="J187" s="36" t="s">
        <v>889</v>
      </c>
      <c r="K187" s="36" t="s">
        <v>894</v>
      </c>
      <c r="L187" s="37">
        <v>0</v>
      </c>
      <c r="M187" s="271">
        <v>0</v>
      </c>
      <c r="N187" s="34" t="s">
        <v>899</v>
      </c>
      <c r="O187" s="34" t="s">
        <v>1198</v>
      </c>
      <c r="P187" s="272" t="s">
        <v>1207</v>
      </c>
    </row>
    <row r="188" spans="1:16" x14ac:dyDescent="0.25">
      <c r="A188" s="270" t="s">
        <v>411</v>
      </c>
      <c r="B188" s="31" t="s">
        <v>410</v>
      </c>
      <c r="C188" s="31" t="s">
        <v>418</v>
      </c>
      <c r="D188" s="31" t="s">
        <v>419</v>
      </c>
      <c r="E188" s="31" t="s">
        <v>155</v>
      </c>
      <c r="F188" s="31" t="s">
        <v>420</v>
      </c>
      <c r="G188" s="33" t="s">
        <v>583</v>
      </c>
      <c r="H188" s="33" t="s">
        <v>603</v>
      </c>
      <c r="I188" s="36" t="s">
        <v>553</v>
      </c>
      <c r="J188" s="36" t="s">
        <v>582</v>
      </c>
      <c r="K188" s="36" t="s">
        <v>896</v>
      </c>
      <c r="L188" s="37">
        <v>1124.7</v>
      </c>
      <c r="M188" s="271">
        <v>1200</v>
      </c>
      <c r="N188" s="34" t="s">
        <v>899</v>
      </c>
      <c r="O188" s="34" t="s">
        <v>1198</v>
      </c>
      <c r="P188" s="272" t="s">
        <v>1207</v>
      </c>
    </row>
    <row r="189" spans="1:16" x14ac:dyDescent="0.25">
      <c r="A189" s="270" t="s">
        <v>411</v>
      </c>
      <c r="B189" s="31" t="s">
        <v>410</v>
      </c>
      <c r="C189" s="31" t="s">
        <v>418</v>
      </c>
      <c r="D189" s="31" t="s">
        <v>419</v>
      </c>
      <c r="E189" s="31" t="s">
        <v>155</v>
      </c>
      <c r="F189" s="31" t="s">
        <v>420</v>
      </c>
      <c r="G189" s="33" t="s">
        <v>583</v>
      </c>
      <c r="H189" s="33" t="s">
        <v>603</v>
      </c>
      <c r="I189" s="36" t="s">
        <v>553</v>
      </c>
      <c r="J189" s="36" t="s">
        <v>881</v>
      </c>
      <c r="K189" s="36" t="s">
        <v>897</v>
      </c>
      <c r="L189" s="37">
        <v>0</v>
      </c>
      <c r="M189" s="271">
        <v>0</v>
      </c>
      <c r="N189" s="34" t="s">
        <v>899</v>
      </c>
      <c r="O189" s="34" t="s">
        <v>1198</v>
      </c>
      <c r="P189" s="272" t="s">
        <v>1207</v>
      </c>
    </row>
    <row r="190" spans="1:16" x14ac:dyDescent="0.25">
      <c r="A190" s="270" t="s">
        <v>411</v>
      </c>
      <c r="B190" s="31" t="s">
        <v>410</v>
      </c>
      <c r="C190" s="31" t="s">
        <v>418</v>
      </c>
      <c r="D190" s="31" t="s">
        <v>419</v>
      </c>
      <c r="E190" s="31" t="s">
        <v>155</v>
      </c>
      <c r="F190" s="31" t="s">
        <v>420</v>
      </c>
      <c r="G190" s="33" t="s">
        <v>583</v>
      </c>
      <c r="H190" s="33" t="s">
        <v>603</v>
      </c>
      <c r="I190" s="36" t="s">
        <v>555</v>
      </c>
      <c r="J190" s="36" t="s">
        <v>579</v>
      </c>
      <c r="K190" s="36" t="s">
        <v>891</v>
      </c>
      <c r="L190" s="37">
        <v>0</v>
      </c>
      <c r="M190" s="271">
        <v>0</v>
      </c>
      <c r="N190" s="34" t="s">
        <v>899</v>
      </c>
      <c r="O190" s="34" t="s">
        <v>1198</v>
      </c>
      <c r="P190" s="272" t="s">
        <v>1207</v>
      </c>
    </row>
    <row r="191" spans="1:16" x14ac:dyDescent="0.25">
      <c r="A191" s="270" t="s">
        <v>411</v>
      </c>
      <c r="B191" s="31" t="s">
        <v>410</v>
      </c>
      <c r="C191" s="31" t="s">
        <v>418</v>
      </c>
      <c r="D191" s="31" t="s">
        <v>419</v>
      </c>
      <c r="E191" s="31" t="s">
        <v>155</v>
      </c>
      <c r="F191" s="31" t="s">
        <v>420</v>
      </c>
      <c r="G191" s="33" t="s">
        <v>583</v>
      </c>
      <c r="H191" s="33" t="s">
        <v>603</v>
      </c>
      <c r="I191" s="36" t="s">
        <v>555</v>
      </c>
      <c r="J191" s="36" t="s">
        <v>577</v>
      </c>
      <c r="K191" s="36" t="s">
        <v>1197</v>
      </c>
      <c r="L191" s="37">
        <v>0</v>
      </c>
      <c r="M191" s="271">
        <v>0</v>
      </c>
      <c r="N191" s="34" t="s">
        <v>899</v>
      </c>
      <c r="O191" s="34" t="s">
        <v>1198</v>
      </c>
      <c r="P191" s="272" t="s">
        <v>1207</v>
      </c>
    </row>
    <row r="192" spans="1:16" x14ac:dyDescent="0.25">
      <c r="A192" s="270" t="s">
        <v>411</v>
      </c>
      <c r="B192" s="31" t="s">
        <v>410</v>
      </c>
      <c r="C192" s="31" t="s">
        <v>418</v>
      </c>
      <c r="D192" s="31" t="s">
        <v>419</v>
      </c>
      <c r="E192" s="31" t="s">
        <v>155</v>
      </c>
      <c r="F192" s="31" t="s">
        <v>420</v>
      </c>
      <c r="G192" s="33" t="s">
        <v>583</v>
      </c>
      <c r="H192" s="33" t="s">
        <v>603</v>
      </c>
      <c r="I192" s="36" t="s">
        <v>555</v>
      </c>
      <c r="J192" s="36" t="s">
        <v>578</v>
      </c>
      <c r="K192" s="36" t="s">
        <v>890</v>
      </c>
      <c r="L192" s="37">
        <v>0</v>
      </c>
      <c r="M192" s="271">
        <v>0</v>
      </c>
      <c r="N192" s="34" t="s">
        <v>899</v>
      </c>
      <c r="O192" s="34" t="s">
        <v>1198</v>
      </c>
      <c r="P192" s="272" t="s">
        <v>1207</v>
      </c>
    </row>
    <row r="193" spans="1:16" x14ac:dyDescent="0.25">
      <c r="A193" s="270" t="s">
        <v>411</v>
      </c>
      <c r="B193" s="31" t="s">
        <v>410</v>
      </c>
      <c r="C193" s="31" t="s">
        <v>418</v>
      </c>
      <c r="D193" s="31" t="s">
        <v>419</v>
      </c>
      <c r="E193" s="31" t="s">
        <v>155</v>
      </c>
      <c r="F193" s="31" t="s">
        <v>420</v>
      </c>
      <c r="G193" s="33" t="s">
        <v>583</v>
      </c>
      <c r="H193" s="33" t="s">
        <v>603</v>
      </c>
      <c r="I193" s="36" t="s">
        <v>555</v>
      </c>
      <c r="J193" s="36" t="s">
        <v>875</v>
      </c>
      <c r="K193" s="36" t="s">
        <v>895</v>
      </c>
      <c r="L193" s="37">
        <v>0</v>
      </c>
      <c r="M193" s="271">
        <v>0</v>
      </c>
      <c r="N193" s="34" t="s">
        <v>899</v>
      </c>
      <c r="O193" s="34" t="s">
        <v>1198</v>
      </c>
      <c r="P193" s="272" t="s">
        <v>1207</v>
      </c>
    </row>
    <row r="194" spans="1:16" x14ac:dyDescent="0.25">
      <c r="A194" s="270" t="s">
        <v>411</v>
      </c>
      <c r="B194" s="31" t="s">
        <v>410</v>
      </c>
      <c r="C194" s="31" t="s">
        <v>418</v>
      </c>
      <c r="D194" s="31" t="s">
        <v>419</v>
      </c>
      <c r="E194" s="31" t="s">
        <v>156</v>
      </c>
      <c r="F194" s="31" t="s">
        <v>396</v>
      </c>
      <c r="G194" s="33" t="s">
        <v>583</v>
      </c>
      <c r="H194" s="33" t="s">
        <v>603</v>
      </c>
      <c r="I194" s="36" t="s">
        <v>552</v>
      </c>
      <c r="J194" s="36" t="s">
        <v>591</v>
      </c>
      <c r="K194" s="36" t="s">
        <v>1016</v>
      </c>
      <c r="L194" s="37">
        <v>40238.6</v>
      </c>
      <c r="M194" s="271">
        <v>40245</v>
      </c>
      <c r="N194" s="34" t="s">
        <v>899</v>
      </c>
      <c r="O194" s="34" t="s">
        <v>1198</v>
      </c>
      <c r="P194" s="272" t="s">
        <v>1208</v>
      </c>
    </row>
    <row r="195" spans="1:16" x14ac:dyDescent="0.25">
      <c r="A195" s="270" t="s">
        <v>411</v>
      </c>
      <c r="B195" s="31" t="s">
        <v>410</v>
      </c>
      <c r="C195" s="31" t="s">
        <v>418</v>
      </c>
      <c r="D195" s="31" t="s">
        <v>419</v>
      </c>
      <c r="E195" s="31" t="s">
        <v>156</v>
      </c>
      <c r="F195" s="31" t="s">
        <v>396</v>
      </c>
      <c r="G195" s="33" t="s">
        <v>583</v>
      </c>
      <c r="H195" s="33" t="s">
        <v>603</v>
      </c>
      <c r="I195" s="36" t="s">
        <v>552</v>
      </c>
      <c r="J195" s="36" t="s">
        <v>580</v>
      </c>
      <c r="K195" s="36" t="s">
        <v>892</v>
      </c>
      <c r="L195" s="37">
        <v>623698.28</v>
      </c>
      <c r="M195" s="271">
        <v>623700</v>
      </c>
      <c r="N195" s="34" t="s">
        <v>899</v>
      </c>
      <c r="O195" s="34" t="s">
        <v>1198</v>
      </c>
      <c r="P195" s="272" t="s">
        <v>1208</v>
      </c>
    </row>
    <row r="196" spans="1:16" x14ac:dyDescent="0.25">
      <c r="A196" s="270" t="s">
        <v>411</v>
      </c>
      <c r="B196" s="31" t="s">
        <v>410</v>
      </c>
      <c r="C196" s="31" t="s">
        <v>418</v>
      </c>
      <c r="D196" s="31" t="s">
        <v>419</v>
      </c>
      <c r="E196" s="31" t="s">
        <v>156</v>
      </c>
      <c r="F196" s="31" t="s">
        <v>396</v>
      </c>
      <c r="G196" s="33" t="s">
        <v>583</v>
      </c>
      <c r="H196" s="33" t="s">
        <v>603</v>
      </c>
      <c r="I196" s="36" t="s">
        <v>553</v>
      </c>
      <c r="J196" s="36" t="s">
        <v>581</v>
      </c>
      <c r="K196" s="36" t="s">
        <v>893</v>
      </c>
      <c r="L196" s="37">
        <v>301789.49</v>
      </c>
      <c r="M196" s="271">
        <v>301790</v>
      </c>
      <c r="N196" s="34" t="s">
        <v>899</v>
      </c>
      <c r="O196" s="34" t="s">
        <v>1198</v>
      </c>
      <c r="P196" s="272" t="s">
        <v>1208</v>
      </c>
    </row>
    <row r="197" spans="1:16" x14ac:dyDescent="0.25">
      <c r="A197" s="270" t="s">
        <v>411</v>
      </c>
      <c r="B197" s="31" t="s">
        <v>410</v>
      </c>
      <c r="C197" s="31" t="s">
        <v>418</v>
      </c>
      <c r="D197" s="31" t="s">
        <v>419</v>
      </c>
      <c r="E197" s="31" t="s">
        <v>156</v>
      </c>
      <c r="F197" s="31" t="s">
        <v>396</v>
      </c>
      <c r="G197" s="33" t="s">
        <v>583</v>
      </c>
      <c r="H197" s="33" t="s">
        <v>603</v>
      </c>
      <c r="I197" s="36" t="s">
        <v>553</v>
      </c>
      <c r="J197" s="36" t="s">
        <v>889</v>
      </c>
      <c r="K197" s="36" t="s">
        <v>894</v>
      </c>
      <c r="L197" s="37">
        <v>181073.69</v>
      </c>
      <c r="M197" s="271">
        <v>181080</v>
      </c>
      <c r="N197" s="34" t="s">
        <v>899</v>
      </c>
      <c r="O197" s="34" t="s">
        <v>1198</v>
      </c>
      <c r="P197" s="272" t="s">
        <v>1208</v>
      </c>
    </row>
    <row r="198" spans="1:16" x14ac:dyDescent="0.25">
      <c r="A198" s="270" t="s">
        <v>411</v>
      </c>
      <c r="B198" s="31" t="s">
        <v>410</v>
      </c>
      <c r="C198" s="31" t="s">
        <v>418</v>
      </c>
      <c r="D198" s="31" t="s">
        <v>419</v>
      </c>
      <c r="E198" s="31" t="s">
        <v>156</v>
      </c>
      <c r="F198" s="31" t="s">
        <v>396</v>
      </c>
      <c r="G198" s="33" t="s">
        <v>583</v>
      </c>
      <c r="H198" s="33" t="s">
        <v>603</v>
      </c>
      <c r="I198" s="36" t="s">
        <v>553</v>
      </c>
      <c r="J198" s="36" t="s">
        <v>582</v>
      </c>
      <c r="K198" s="36" t="s">
        <v>896</v>
      </c>
      <c r="L198" s="37">
        <v>925487.76</v>
      </c>
      <c r="M198" s="271">
        <v>925490</v>
      </c>
      <c r="N198" s="34" t="s">
        <v>899</v>
      </c>
      <c r="O198" s="34" t="s">
        <v>1198</v>
      </c>
      <c r="P198" s="272" t="s">
        <v>1208</v>
      </c>
    </row>
    <row r="199" spans="1:16" x14ac:dyDescent="0.25">
      <c r="A199" s="270" t="s">
        <v>411</v>
      </c>
      <c r="B199" s="31" t="s">
        <v>410</v>
      </c>
      <c r="C199" s="31" t="s">
        <v>418</v>
      </c>
      <c r="D199" s="31" t="s">
        <v>419</v>
      </c>
      <c r="E199" s="31" t="s">
        <v>156</v>
      </c>
      <c r="F199" s="31" t="s">
        <v>396</v>
      </c>
      <c r="G199" s="33" t="s">
        <v>583</v>
      </c>
      <c r="H199" s="33" t="s">
        <v>603</v>
      </c>
      <c r="I199" s="36" t="s">
        <v>553</v>
      </c>
      <c r="J199" s="36" t="s">
        <v>881</v>
      </c>
      <c r="K199" s="36" t="s">
        <v>897</v>
      </c>
      <c r="L199" s="37">
        <v>201192.99</v>
      </c>
      <c r="M199" s="271">
        <v>201200</v>
      </c>
      <c r="N199" s="34" t="s">
        <v>899</v>
      </c>
      <c r="O199" s="34" t="s">
        <v>1198</v>
      </c>
      <c r="P199" s="272" t="s">
        <v>1208</v>
      </c>
    </row>
    <row r="200" spans="1:16" x14ac:dyDescent="0.25">
      <c r="A200" s="270" t="s">
        <v>411</v>
      </c>
      <c r="B200" s="31" t="s">
        <v>410</v>
      </c>
      <c r="C200" s="31" t="s">
        <v>418</v>
      </c>
      <c r="D200" s="31" t="s">
        <v>419</v>
      </c>
      <c r="E200" s="31" t="s">
        <v>156</v>
      </c>
      <c r="F200" s="31" t="s">
        <v>396</v>
      </c>
      <c r="G200" s="33" t="s">
        <v>583</v>
      </c>
      <c r="H200" s="33" t="s">
        <v>603</v>
      </c>
      <c r="I200" s="36" t="s">
        <v>555</v>
      </c>
      <c r="J200" s="36" t="s">
        <v>579</v>
      </c>
      <c r="K200" s="36" t="s">
        <v>891</v>
      </c>
      <c r="L200" s="37">
        <v>663936.87</v>
      </c>
      <c r="M200" s="271">
        <v>663945</v>
      </c>
      <c r="N200" s="34" t="s">
        <v>899</v>
      </c>
      <c r="O200" s="34" t="s">
        <v>1198</v>
      </c>
      <c r="P200" s="272" t="s">
        <v>1208</v>
      </c>
    </row>
    <row r="201" spans="1:16" x14ac:dyDescent="0.25">
      <c r="A201" s="270" t="s">
        <v>411</v>
      </c>
      <c r="B201" s="31" t="s">
        <v>410</v>
      </c>
      <c r="C201" s="31" t="s">
        <v>418</v>
      </c>
      <c r="D201" s="31" t="s">
        <v>419</v>
      </c>
      <c r="E201" s="31" t="s">
        <v>156</v>
      </c>
      <c r="F201" s="31" t="s">
        <v>396</v>
      </c>
      <c r="G201" s="33" t="s">
        <v>583</v>
      </c>
      <c r="H201" s="33" t="s">
        <v>603</v>
      </c>
      <c r="I201" s="36" t="s">
        <v>555</v>
      </c>
      <c r="J201" s="36" t="s">
        <v>577</v>
      </c>
      <c r="K201" s="36" t="s">
        <v>1197</v>
      </c>
      <c r="L201" s="37">
        <v>422505.28</v>
      </c>
      <c r="M201" s="271">
        <v>422510</v>
      </c>
      <c r="N201" s="34" t="s">
        <v>899</v>
      </c>
      <c r="O201" s="34" t="s">
        <v>1198</v>
      </c>
      <c r="P201" s="272" t="s">
        <v>1208</v>
      </c>
    </row>
    <row r="202" spans="1:16" x14ac:dyDescent="0.25">
      <c r="A202" s="270" t="s">
        <v>411</v>
      </c>
      <c r="B202" s="31" t="s">
        <v>410</v>
      </c>
      <c r="C202" s="31" t="s">
        <v>418</v>
      </c>
      <c r="D202" s="31" t="s">
        <v>419</v>
      </c>
      <c r="E202" s="31" t="s">
        <v>156</v>
      </c>
      <c r="F202" s="31" t="s">
        <v>396</v>
      </c>
      <c r="G202" s="33" t="s">
        <v>583</v>
      </c>
      <c r="H202" s="33" t="s">
        <v>603</v>
      </c>
      <c r="I202" s="36" t="s">
        <v>555</v>
      </c>
      <c r="J202" s="36" t="s">
        <v>578</v>
      </c>
      <c r="K202" s="36" t="s">
        <v>890</v>
      </c>
      <c r="L202" s="37">
        <v>160954.39000000001</v>
      </c>
      <c r="M202" s="271">
        <v>160955</v>
      </c>
      <c r="N202" s="34" t="s">
        <v>899</v>
      </c>
      <c r="O202" s="34" t="s">
        <v>1198</v>
      </c>
      <c r="P202" s="272" t="s">
        <v>1208</v>
      </c>
    </row>
    <row r="203" spans="1:16" x14ac:dyDescent="0.25">
      <c r="A203" s="270" t="s">
        <v>411</v>
      </c>
      <c r="B203" s="31" t="s">
        <v>410</v>
      </c>
      <c r="C203" s="31" t="s">
        <v>418</v>
      </c>
      <c r="D203" s="31" t="s">
        <v>419</v>
      </c>
      <c r="E203" s="31" t="s">
        <v>156</v>
      </c>
      <c r="F203" s="31" t="s">
        <v>396</v>
      </c>
      <c r="G203" s="33" t="s">
        <v>583</v>
      </c>
      <c r="H203" s="33" t="s">
        <v>603</v>
      </c>
      <c r="I203" s="36" t="s">
        <v>555</v>
      </c>
      <c r="J203" s="36" t="s">
        <v>875</v>
      </c>
      <c r="K203" s="36" t="s">
        <v>895</v>
      </c>
      <c r="L203" s="37">
        <v>402385.98</v>
      </c>
      <c r="M203" s="271">
        <v>402385</v>
      </c>
      <c r="N203" s="34" t="s">
        <v>899</v>
      </c>
      <c r="O203" s="34" t="s">
        <v>1198</v>
      </c>
      <c r="P203" s="272" t="s">
        <v>1208</v>
      </c>
    </row>
    <row r="204" spans="1:16" x14ac:dyDescent="0.25">
      <c r="A204" s="270" t="s">
        <v>411</v>
      </c>
      <c r="B204" s="31" t="s">
        <v>410</v>
      </c>
      <c r="C204" s="31" t="s">
        <v>418</v>
      </c>
      <c r="D204" s="31" t="s">
        <v>419</v>
      </c>
      <c r="E204" s="31" t="s">
        <v>157</v>
      </c>
      <c r="F204" s="31" t="s">
        <v>377</v>
      </c>
      <c r="G204" s="33" t="s">
        <v>583</v>
      </c>
      <c r="H204" s="33" t="s">
        <v>603</v>
      </c>
      <c r="I204" s="36" t="s">
        <v>552</v>
      </c>
      <c r="J204" s="36" t="s">
        <v>591</v>
      </c>
      <c r="K204" s="36" t="s">
        <v>1016</v>
      </c>
      <c r="L204" s="37">
        <v>81447.87</v>
      </c>
      <c r="M204" s="271">
        <v>81455</v>
      </c>
      <c r="N204" s="34" t="s">
        <v>899</v>
      </c>
      <c r="O204" s="34" t="s">
        <v>1198</v>
      </c>
      <c r="P204" s="272" t="s">
        <v>1209</v>
      </c>
    </row>
    <row r="205" spans="1:16" x14ac:dyDescent="0.25">
      <c r="A205" s="270" t="s">
        <v>411</v>
      </c>
      <c r="B205" s="31" t="s">
        <v>410</v>
      </c>
      <c r="C205" s="31" t="s">
        <v>418</v>
      </c>
      <c r="D205" s="31" t="s">
        <v>419</v>
      </c>
      <c r="E205" s="31" t="s">
        <v>157</v>
      </c>
      <c r="F205" s="31" t="s">
        <v>377</v>
      </c>
      <c r="G205" s="33" t="s">
        <v>583</v>
      </c>
      <c r="H205" s="33" t="s">
        <v>603</v>
      </c>
      <c r="I205" s="36" t="s">
        <v>552</v>
      </c>
      <c r="J205" s="36" t="s">
        <v>580</v>
      </c>
      <c r="K205" s="36" t="s">
        <v>892</v>
      </c>
      <c r="L205" s="37">
        <v>1126027.8600000001</v>
      </c>
      <c r="M205" s="271">
        <v>1126035</v>
      </c>
      <c r="N205" s="34" t="s">
        <v>899</v>
      </c>
      <c r="O205" s="34" t="s">
        <v>1198</v>
      </c>
      <c r="P205" s="272" t="s">
        <v>1209</v>
      </c>
    </row>
    <row r="206" spans="1:16" x14ac:dyDescent="0.25">
      <c r="A206" s="270" t="s">
        <v>411</v>
      </c>
      <c r="B206" s="31" t="s">
        <v>410</v>
      </c>
      <c r="C206" s="31" t="s">
        <v>418</v>
      </c>
      <c r="D206" s="31" t="s">
        <v>419</v>
      </c>
      <c r="E206" s="31" t="s">
        <v>157</v>
      </c>
      <c r="F206" s="31" t="s">
        <v>377</v>
      </c>
      <c r="G206" s="33" t="s">
        <v>583</v>
      </c>
      <c r="H206" s="33" t="s">
        <v>603</v>
      </c>
      <c r="I206" s="36" t="s">
        <v>553</v>
      </c>
      <c r="J206" s="36" t="s">
        <v>581</v>
      </c>
      <c r="K206" s="36" t="s">
        <v>893</v>
      </c>
      <c r="L206" s="37">
        <v>404157.8</v>
      </c>
      <c r="M206" s="271">
        <v>404165</v>
      </c>
      <c r="N206" s="34" t="s">
        <v>899</v>
      </c>
      <c r="O206" s="34" t="s">
        <v>1198</v>
      </c>
      <c r="P206" s="272" t="s">
        <v>1209</v>
      </c>
    </row>
    <row r="207" spans="1:16" x14ac:dyDescent="0.25">
      <c r="A207" s="270" t="s">
        <v>411</v>
      </c>
      <c r="B207" s="31" t="s">
        <v>410</v>
      </c>
      <c r="C207" s="31" t="s">
        <v>418</v>
      </c>
      <c r="D207" s="31" t="s">
        <v>419</v>
      </c>
      <c r="E207" s="31" t="s">
        <v>157</v>
      </c>
      <c r="F207" s="31" t="s">
        <v>377</v>
      </c>
      <c r="G207" s="33" t="s">
        <v>583</v>
      </c>
      <c r="H207" s="33" t="s">
        <v>603</v>
      </c>
      <c r="I207" s="36" t="s">
        <v>553</v>
      </c>
      <c r="J207" s="36" t="s">
        <v>889</v>
      </c>
      <c r="K207" s="36" t="s">
        <v>894</v>
      </c>
      <c r="L207" s="37">
        <v>482660.55</v>
      </c>
      <c r="M207" s="271">
        <v>482670</v>
      </c>
      <c r="N207" s="34" t="s">
        <v>899</v>
      </c>
      <c r="O207" s="34" t="s">
        <v>1198</v>
      </c>
      <c r="P207" s="272" t="s">
        <v>1209</v>
      </c>
    </row>
    <row r="208" spans="1:16" x14ac:dyDescent="0.25">
      <c r="A208" s="270" t="s">
        <v>411</v>
      </c>
      <c r="B208" s="31" t="s">
        <v>410</v>
      </c>
      <c r="C208" s="31" t="s">
        <v>418</v>
      </c>
      <c r="D208" s="31" t="s">
        <v>419</v>
      </c>
      <c r="E208" s="31" t="s">
        <v>157</v>
      </c>
      <c r="F208" s="31" t="s">
        <v>377</v>
      </c>
      <c r="G208" s="33" t="s">
        <v>583</v>
      </c>
      <c r="H208" s="33" t="s">
        <v>603</v>
      </c>
      <c r="I208" s="36" t="s">
        <v>553</v>
      </c>
      <c r="J208" s="36" t="s">
        <v>582</v>
      </c>
      <c r="K208" s="36" t="s">
        <v>896</v>
      </c>
      <c r="L208" s="37">
        <v>1338126.95</v>
      </c>
      <c r="M208" s="271">
        <v>1338135</v>
      </c>
      <c r="N208" s="34" t="s">
        <v>899</v>
      </c>
      <c r="O208" s="34" t="s">
        <v>1198</v>
      </c>
      <c r="P208" s="272" t="s">
        <v>1209</v>
      </c>
    </row>
    <row r="209" spans="1:16" x14ac:dyDescent="0.25">
      <c r="A209" s="270" t="s">
        <v>411</v>
      </c>
      <c r="B209" s="31" t="s">
        <v>410</v>
      </c>
      <c r="C209" s="31" t="s">
        <v>418</v>
      </c>
      <c r="D209" s="31" t="s">
        <v>419</v>
      </c>
      <c r="E209" s="31" t="s">
        <v>157</v>
      </c>
      <c r="F209" s="31" t="s">
        <v>377</v>
      </c>
      <c r="G209" s="33" t="s">
        <v>583</v>
      </c>
      <c r="H209" s="33" t="s">
        <v>603</v>
      </c>
      <c r="I209" s="36" t="s">
        <v>553</v>
      </c>
      <c r="J209" s="36" t="s">
        <v>881</v>
      </c>
      <c r="K209" s="36" t="s">
        <v>897</v>
      </c>
      <c r="L209" s="37">
        <v>320039.46999999997</v>
      </c>
      <c r="M209" s="271">
        <v>320050</v>
      </c>
      <c r="N209" s="34" t="s">
        <v>899</v>
      </c>
      <c r="O209" s="34" t="s">
        <v>1198</v>
      </c>
      <c r="P209" s="272" t="s">
        <v>1209</v>
      </c>
    </row>
    <row r="210" spans="1:16" x14ac:dyDescent="0.25">
      <c r="A210" s="270" t="s">
        <v>411</v>
      </c>
      <c r="B210" s="31" t="s">
        <v>410</v>
      </c>
      <c r="C210" s="31" t="s">
        <v>418</v>
      </c>
      <c r="D210" s="31" t="s">
        <v>419</v>
      </c>
      <c r="E210" s="31" t="s">
        <v>157</v>
      </c>
      <c r="F210" s="31" t="s">
        <v>377</v>
      </c>
      <c r="G210" s="33" t="s">
        <v>583</v>
      </c>
      <c r="H210" s="33" t="s">
        <v>603</v>
      </c>
      <c r="I210" s="36" t="s">
        <v>555</v>
      </c>
      <c r="J210" s="36" t="s">
        <v>579</v>
      </c>
      <c r="K210" s="36" t="s">
        <v>891</v>
      </c>
      <c r="L210" s="37">
        <v>1226702.56</v>
      </c>
      <c r="M210" s="271">
        <v>1226710</v>
      </c>
      <c r="N210" s="34" t="s">
        <v>899</v>
      </c>
      <c r="O210" s="34" t="s">
        <v>1198</v>
      </c>
      <c r="P210" s="272" t="s">
        <v>1209</v>
      </c>
    </row>
    <row r="211" spans="1:16" x14ac:dyDescent="0.25">
      <c r="A211" s="270" t="s">
        <v>411</v>
      </c>
      <c r="B211" s="31" t="s">
        <v>410</v>
      </c>
      <c r="C211" s="31" t="s">
        <v>418</v>
      </c>
      <c r="D211" s="31" t="s">
        <v>419</v>
      </c>
      <c r="E211" s="31" t="s">
        <v>157</v>
      </c>
      <c r="F211" s="31" t="s">
        <v>377</v>
      </c>
      <c r="G211" s="33" t="s">
        <v>583</v>
      </c>
      <c r="H211" s="33" t="s">
        <v>603</v>
      </c>
      <c r="I211" s="36" t="s">
        <v>555</v>
      </c>
      <c r="J211" s="36" t="s">
        <v>577</v>
      </c>
      <c r="K211" s="36" t="s">
        <v>1197</v>
      </c>
      <c r="L211" s="37">
        <v>524731.48</v>
      </c>
      <c r="M211" s="271">
        <v>524735</v>
      </c>
      <c r="N211" s="34" t="s">
        <v>899</v>
      </c>
      <c r="O211" s="34" t="s">
        <v>1198</v>
      </c>
      <c r="P211" s="272" t="s">
        <v>1209</v>
      </c>
    </row>
    <row r="212" spans="1:16" x14ac:dyDescent="0.25">
      <c r="A212" s="270" t="s">
        <v>411</v>
      </c>
      <c r="B212" s="31" t="s">
        <v>410</v>
      </c>
      <c r="C212" s="31" t="s">
        <v>418</v>
      </c>
      <c r="D212" s="31" t="s">
        <v>419</v>
      </c>
      <c r="E212" s="31" t="s">
        <v>157</v>
      </c>
      <c r="F212" s="31" t="s">
        <v>377</v>
      </c>
      <c r="G212" s="33" t="s">
        <v>583</v>
      </c>
      <c r="H212" s="33" t="s">
        <v>603</v>
      </c>
      <c r="I212" s="36" t="s">
        <v>555</v>
      </c>
      <c r="J212" s="36" t="s">
        <v>578</v>
      </c>
      <c r="K212" s="36" t="s">
        <v>890</v>
      </c>
      <c r="L212" s="37">
        <v>196520.93</v>
      </c>
      <c r="M212" s="271">
        <v>196525</v>
      </c>
      <c r="N212" s="34" t="s">
        <v>899</v>
      </c>
      <c r="O212" s="34" t="s">
        <v>1198</v>
      </c>
      <c r="P212" s="272" t="s">
        <v>1209</v>
      </c>
    </row>
    <row r="213" spans="1:16" x14ac:dyDescent="0.25">
      <c r="A213" s="270" t="s">
        <v>411</v>
      </c>
      <c r="B213" s="31" t="s">
        <v>410</v>
      </c>
      <c r="C213" s="31" t="s">
        <v>418</v>
      </c>
      <c r="D213" s="31" t="s">
        <v>419</v>
      </c>
      <c r="E213" s="31" t="s">
        <v>157</v>
      </c>
      <c r="F213" s="31" t="s">
        <v>377</v>
      </c>
      <c r="G213" s="33" t="s">
        <v>583</v>
      </c>
      <c r="H213" s="33" t="s">
        <v>603</v>
      </c>
      <c r="I213" s="36" t="s">
        <v>555</v>
      </c>
      <c r="J213" s="36" t="s">
        <v>875</v>
      </c>
      <c r="K213" s="36" t="s">
        <v>895</v>
      </c>
      <c r="L213" s="37">
        <v>688460.4</v>
      </c>
      <c r="M213" s="271">
        <v>688470</v>
      </c>
      <c r="N213" s="34" t="s">
        <v>899</v>
      </c>
      <c r="O213" s="34" t="s">
        <v>1198</v>
      </c>
      <c r="P213" s="272" t="s">
        <v>1209</v>
      </c>
    </row>
    <row r="214" spans="1:16" x14ac:dyDescent="0.25">
      <c r="A214" s="270" t="s">
        <v>411</v>
      </c>
      <c r="B214" s="31" t="s">
        <v>410</v>
      </c>
      <c r="C214" s="31" t="s">
        <v>418</v>
      </c>
      <c r="D214" s="31" t="s">
        <v>419</v>
      </c>
      <c r="E214" s="31" t="s">
        <v>158</v>
      </c>
      <c r="F214" s="31" t="s">
        <v>378</v>
      </c>
      <c r="G214" s="33" t="s">
        <v>583</v>
      </c>
      <c r="H214" s="33" t="s">
        <v>603</v>
      </c>
      <c r="I214" s="36" t="s">
        <v>552</v>
      </c>
      <c r="J214" s="36" t="s">
        <v>591</v>
      </c>
      <c r="K214" s="36" t="s">
        <v>1016</v>
      </c>
      <c r="L214" s="37">
        <v>2199.0700000000002</v>
      </c>
      <c r="M214" s="271">
        <v>2210</v>
      </c>
      <c r="N214" s="34" t="s">
        <v>899</v>
      </c>
      <c r="O214" s="34" t="s">
        <v>1198</v>
      </c>
      <c r="P214" s="272" t="s">
        <v>1210</v>
      </c>
    </row>
    <row r="215" spans="1:16" x14ac:dyDescent="0.25">
      <c r="A215" s="270" t="s">
        <v>411</v>
      </c>
      <c r="B215" s="31" t="s">
        <v>410</v>
      </c>
      <c r="C215" s="31" t="s">
        <v>418</v>
      </c>
      <c r="D215" s="31" t="s">
        <v>419</v>
      </c>
      <c r="E215" s="31" t="s">
        <v>158</v>
      </c>
      <c r="F215" s="31" t="s">
        <v>378</v>
      </c>
      <c r="G215" s="33" t="s">
        <v>583</v>
      </c>
      <c r="H215" s="33" t="s">
        <v>603</v>
      </c>
      <c r="I215" s="36" t="s">
        <v>552</v>
      </c>
      <c r="J215" s="36" t="s">
        <v>580</v>
      </c>
      <c r="K215" s="36" t="s">
        <v>892</v>
      </c>
      <c r="L215" s="37">
        <v>21933.48</v>
      </c>
      <c r="M215" s="271">
        <v>21940</v>
      </c>
      <c r="N215" s="34" t="s">
        <v>899</v>
      </c>
      <c r="O215" s="34" t="s">
        <v>1198</v>
      </c>
      <c r="P215" s="272" t="s">
        <v>1210</v>
      </c>
    </row>
    <row r="216" spans="1:16" x14ac:dyDescent="0.25">
      <c r="A216" s="270" t="s">
        <v>411</v>
      </c>
      <c r="B216" s="31" t="s">
        <v>410</v>
      </c>
      <c r="C216" s="31" t="s">
        <v>418</v>
      </c>
      <c r="D216" s="31" t="s">
        <v>419</v>
      </c>
      <c r="E216" s="31" t="s">
        <v>158</v>
      </c>
      <c r="F216" s="31" t="s">
        <v>378</v>
      </c>
      <c r="G216" s="33" t="s">
        <v>583</v>
      </c>
      <c r="H216" s="33" t="s">
        <v>603</v>
      </c>
      <c r="I216" s="36" t="s">
        <v>553</v>
      </c>
      <c r="J216" s="36" t="s">
        <v>581</v>
      </c>
      <c r="K216" s="36" t="s">
        <v>893</v>
      </c>
      <c r="L216" s="37">
        <v>8494.2099999999991</v>
      </c>
      <c r="M216" s="271">
        <v>8505</v>
      </c>
      <c r="N216" s="34" t="s">
        <v>899</v>
      </c>
      <c r="O216" s="34" t="s">
        <v>1198</v>
      </c>
      <c r="P216" s="272" t="s">
        <v>1210</v>
      </c>
    </row>
    <row r="217" spans="1:16" x14ac:dyDescent="0.25">
      <c r="A217" s="270" t="s">
        <v>411</v>
      </c>
      <c r="B217" s="31" t="s">
        <v>410</v>
      </c>
      <c r="C217" s="31" t="s">
        <v>418</v>
      </c>
      <c r="D217" s="31" t="s">
        <v>419</v>
      </c>
      <c r="E217" s="31" t="s">
        <v>158</v>
      </c>
      <c r="F217" s="31" t="s">
        <v>378</v>
      </c>
      <c r="G217" s="33" t="s">
        <v>583</v>
      </c>
      <c r="H217" s="33" t="s">
        <v>603</v>
      </c>
      <c r="I217" s="36" t="s">
        <v>553</v>
      </c>
      <c r="J217" s="36" t="s">
        <v>889</v>
      </c>
      <c r="K217" s="36" t="s">
        <v>894</v>
      </c>
      <c r="L217" s="37">
        <v>10018.06</v>
      </c>
      <c r="M217" s="271">
        <v>10025</v>
      </c>
      <c r="N217" s="34" t="s">
        <v>899</v>
      </c>
      <c r="O217" s="34" t="s">
        <v>1198</v>
      </c>
      <c r="P217" s="272" t="s">
        <v>1210</v>
      </c>
    </row>
    <row r="218" spans="1:16" x14ac:dyDescent="0.25">
      <c r="A218" s="270" t="s">
        <v>411</v>
      </c>
      <c r="B218" s="31" t="s">
        <v>410</v>
      </c>
      <c r="C218" s="31" t="s">
        <v>418</v>
      </c>
      <c r="D218" s="31" t="s">
        <v>419</v>
      </c>
      <c r="E218" s="31" t="s">
        <v>158</v>
      </c>
      <c r="F218" s="31" t="s">
        <v>378</v>
      </c>
      <c r="G218" s="33" t="s">
        <v>583</v>
      </c>
      <c r="H218" s="33" t="s">
        <v>603</v>
      </c>
      <c r="I218" s="36" t="s">
        <v>553</v>
      </c>
      <c r="J218" s="36" t="s">
        <v>582</v>
      </c>
      <c r="K218" s="36" t="s">
        <v>896</v>
      </c>
      <c r="L218" s="37">
        <v>29450.12</v>
      </c>
      <c r="M218" s="271">
        <v>29465</v>
      </c>
      <c r="N218" s="34" t="s">
        <v>899</v>
      </c>
      <c r="O218" s="34" t="s">
        <v>1198</v>
      </c>
      <c r="P218" s="272" t="s">
        <v>1210</v>
      </c>
    </row>
    <row r="219" spans="1:16" x14ac:dyDescent="0.25">
      <c r="A219" s="270" t="s">
        <v>411</v>
      </c>
      <c r="B219" s="31" t="s">
        <v>410</v>
      </c>
      <c r="C219" s="31" t="s">
        <v>418</v>
      </c>
      <c r="D219" s="31" t="s">
        <v>419</v>
      </c>
      <c r="E219" s="31" t="s">
        <v>158</v>
      </c>
      <c r="F219" s="31" t="s">
        <v>378</v>
      </c>
      <c r="G219" s="33" t="s">
        <v>583</v>
      </c>
      <c r="H219" s="33" t="s">
        <v>603</v>
      </c>
      <c r="I219" s="36" t="s">
        <v>553</v>
      </c>
      <c r="J219" s="36" t="s">
        <v>881</v>
      </c>
      <c r="K219" s="36" t="s">
        <v>897</v>
      </c>
      <c r="L219" s="37">
        <v>7547.82</v>
      </c>
      <c r="M219" s="271">
        <v>7555</v>
      </c>
      <c r="N219" s="34" t="s">
        <v>899</v>
      </c>
      <c r="O219" s="34" t="s">
        <v>1198</v>
      </c>
      <c r="P219" s="272" t="s">
        <v>1210</v>
      </c>
    </row>
    <row r="220" spans="1:16" x14ac:dyDescent="0.25">
      <c r="A220" s="270" t="s">
        <v>411</v>
      </c>
      <c r="B220" s="31" t="s">
        <v>410</v>
      </c>
      <c r="C220" s="31" t="s">
        <v>418</v>
      </c>
      <c r="D220" s="31" t="s">
        <v>419</v>
      </c>
      <c r="E220" s="31" t="s">
        <v>158</v>
      </c>
      <c r="F220" s="31" t="s">
        <v>378</v>
      </c>
      <c r="G220" s="33" t="s">
        <v>583</v>
      </c>
      <c r="H220" s="33" t="s">
        <v>603</v>
      </c>
      <c r="I220" s="36" t="s">
        <v>555</v>
      </c>
      <c r="J220" s="36" t="s">
        <v>579</v>
      </c>
      <c r="K220" s="36" t="s">
        <v>891</v>
      </c>
      <c r="L220" s="37">
        <v>22075.83</v>
      </c>
      <c r="M220" s="271">
        <v>22080</v>
      </c>
      <c r="N220" s="34" t="s">
        <v>899</v>
      </c>
      <c r="O220" s="34" t="s">
        <v>1198</v>
      </c>
      <c r="P220" s="272" t="s">
        <v>1210</v>
      </c>
    </row>
    <row r="221" spans="1:16" x14ac:dyDescent="0.25">
      <c r="A221" s="270" t="s">
        <v>411</v>
      </c>
      <c r="B221" s="31" t="s">
        <v>410</v>
      </c>
      <c r="C221" s="31" t="s">
        <v>418</v>
      </c>
      <c r="D221" s="31" t="s">
        <v>419</v>
      </c>
      <c r="E221" s="31" t="s">
        <v>158</v>
      </c>
      <c r="F221" s="31" t="s">
        <v>378</v>
      </c>
      <c r="G221" s="33" t="s">
        <v>583</v>
      </c>
      <c r="H221" s="33" t="s">
        <v>603</v>
      </c>
      <c r="I221" s="36" t="s">
        <v>555</v>
      </c>
      <c r="J221" s="36" t="s">
        <v>577</v>
      </c>
      <c r="K221" s="36" t="s">
        <v>1197</v>
      </c>
      <c r="L221" s="37">
        <v>14441.63</v>
      </c>
      <c r="M221" s="271">
        <v>14450</v>
      </c>
      <c r="N221" s="34" t="s">
        <v>899</v>
      </c>
      <c r="O221" s="34" t="s">
        <v>1198</v>
      </c>
      <c r="P221" s="272" t="s">
        <v>1210</v>
      </c>
    </row>
    <row r="222" spans="1:16" x14ac:dyDescent="0.25">
      <c r="A222" s="270" t="s">
        <v>411</v>
      </c>
      <c r="B222" s="31" t="s">
        <v>410</v>
      </c>
      <c r="C222" s="31" t="s">
        <v>418</v>
      </c>
      <c r="D222" s="31" t="s">
        <v>419</v>
      </c>
      <c r="E222" s="31" t="s">
        <v>158</v>
      </c>
      <c r="F222" s="31" t="s">
        <v>378</v>
      </c>
      <c r="G222" s="33" t="s">
        <v>583</v>
      </c>
      <c r="H222" s="33" t="s">
        <v>603</v>
      </c>
      <c r="I222" s="36" t="s">
        <v>555</v>
      </c>
      <c r="J222" s="36" t="s">
        <v>578</v>
      </c>
      <c r="K222" s="36" t="s">
        <v>890</v>
      </c>
      <c r="L222" s="37">
        <v>5771.34</v>
      </c>
      <c r="M222" s="271">
        <v>5780</v>
      </c>
      <c r="N222" s="34" t="s">
        <v>899</v>
      </c>
      <c r="O222" s="34" t="s">
        <v>1198</v>
      </c>
      <c r="P222" s="272" t="s">
        <v>1210</v>
      </c>
    </row>
    <row r="223" spans="1:16" x14ac:dyDescent="0.25">
      <c r="A223" s="270" t="s">
        <v>411</v>
      </c>
      <c r="B223" s="31" t="s">
        <v>410</v>
      </c>
      <c r="C223" s="31" t="s">
        <v>418</v>
      </c>
      <c r="D223" s="31" t="s">
        <v>419</v>
      </c>
      <c r="E223" s="31" t="s">
        <v>158</v>
      </c>
      <c r="F223" s="31" t="s">
        <v>378</v>
      </c>
      <c r="G223" s="33" t="s">
        <v>583</v>
      </c>
      <c r="H223" s="33" t="s">
        <v>603</v>
      </c>
      <c r="I223" s="36" t="s">
        <v>555</v>
      </c>
      <c r="J223" s="36" t="s">
        <v>875</v>
      </c>
      <c r="K223" s="36" t="s">
        <v>895</v>
      </c>
      <c r="L223" s="37">
        <v>16487.740000000002</v>
      </c>
      <c r="M223" s="271">
        <v>16490</v>
      </c>
      <c r="N223" s="34" t="s">
        <v>899</v>
      </c>
      <c r="O223" s="34" t="s">
        <v>1198</v>
      </c>
      <c r="P223" s="272" t="s">
        <v>1210</v>
      </c>
    </row>
    <row r="224" spans="1:16" x14ac:dyDescent="0.25">
      <c r="A224" s="270" t="s">
        <v>411</v>
      </c>
      <c r="B224" s="31" t="s">
        <v>410</v>
      </c>
      <c r="C224" s="31" t="s">
        <v>418</v>
      </c>
      <c r="D224" s="31" t="s">
        <v>419</v>
      </c>
      <c r="E224" s="31" t="s">
        <v>159</v>
      </c>
      <c r="F224" s="31" t="s">
        <v>160</v>
      </c>
      <c r="G224" s="33" t="s">
        <v>583</v>
      </c>
      <c r="H224" s="33" t="s">
        <v>603</v>
      </c>
      <c r="I224" s="36" t="s">
        <v>552</v>
      </c>
      <c r="J224" s="36" t="s">
        <v>591</v>
      </c>
      <c r="K224" s="36" t="s">
        <v>1016</v>
      </c>
      <c r="L224" s="37">
        <v>17790.080000000002</v>
      </c>
      <c r="M224" s="271">
        <v>17795</v>
      </c>
      <c r="N224" s="34" t="s">
        <v>899</v>
      </c>
      <c r="O224" s="34" t="s">
        <v>1198</v>
      </c>
      <c r="P224" s="272" t="s">
        <v>1212</v>
      </c>
    </row>
    <row r="225" spans="1:16" x14ac:dyDescent="0.25">
      <c r="A225" s="270" t="s">
        <v>411</v>
      </c>
      <c r="B225" s="31" t="s">
        <v>410</v>
      </c>
      <c r="C225" s="31" t="s">
        <v>418</v>
      </c>
      <c r="D225" s="31" t="s">
        <v>419</v>
      </c>
      <c r="E225" s="31" t="s">
        <v>159</v>
      </c>
      <c r="F225" s="31" t="s">
        <v>160</v>
      </c>
      <c r="G225" s="33" t="s">
        <v>583</v>
      </c>
      <c r="H225" s="33" t="s">
        <v>603</v>
      </c>
      <c r="I225" s="36" t="s">
        <v>552</v>
      </c>
      <c r="J225" s="36" t="s">
        <v>580</v>
      </c>
      <c r="K225" s="36" t="s">
        <v>892</v>
      </c>
      <c r="L225" s="37">
        <v>198736.01</v>
      </c>
      <c r="M225" s="271">
        <v>198745</v>
      </c>
      <c r="N225" s="34" t="s">
        <v>899</v>
      </c>
      <c r="O225" s="34" t="s">
        <v>1198</v>
      </c>
      <c r="P225" s="272" t="s">
        <v>1212</v>
      </c>
    </row>
    <row r="226" spans="1:16" x14ac:dyDescent="0.25">
      <c r="A226" s="270" t="s">
        <v>411</v>
      </c>
      <c r="B226" s="31" t="s">
        <v>410</v>
      </c>
      <c r="C226" s="31" t="s">
        <v>418</v>
      </c>
      <c r="D226" s="31" t="s">
        <v>419</v>
      </c>
      <c r="E226" s="31" t="s">
        <v>159</v>
      </c>
      <c r="F226" s="31" t="s">
        <v>160</v>
      </c>
      <c r="G226" s="33" t="s">
        <v>583</v>
      </c>
      <c r="H226" s="33" t="s">
        <v>603</v>
      </c>
      <c r="I226" s="36" t="s">
        <v>553</v>
      </c>
      <c r="J226" s="36" t="s">
        <v>581</v>
      </c>
      <c r="K226" s="36" t="s">
        <v>893</v>
      </c>
      <c r="L226" s="37">
        <v>127327.2</v>
      </c>
      <c r="M226" s="271">
        <v>127335</v>
      </c>
      <c r="N226" s="34" t="s">
        <v>899</v>
      </c>
      <c r="O226" s="34" t="s">
        <v>1198</v>
      </c>
      <c r="P226" s="272" t="s">
        <v>1212</v>
      </c>
    </row>
    <row r="227" spans="1:16" x14ac:dyDescent="0.25">
      <c r="A227" s="270" t="s">
        <v>411</v>
      </c>
      <c r="B227" s="31" t="s">
        <v>410</v>
      </c>
      <c r="C227" s="31" t="s">
        <v>418</v>
      </c>
      <c r="D227" s="31" t="s">
        <v>419</v>
      </c>
      <c r="E227" s="31" t="s">
        <v>159</v>
      </c>
      <c r="F227" s="31" t="s">
        <v>160</v>
      </c>
      <c r="G227" s="33" t="s">
        <v>583</v>
      </c>
      <c r="H227" s="33" t="s">
        <v>603</v>
      </c>
      <c r="I227" s="36" t="s">
        <v>553</v>
      </c>
      <c r="J227" s="36" t="s">
        <v>889</v>
      </c>
      <c r="K227" s="36" t="s">
        <v>894</v>
      </c>
      <c r="L227" s="37">
        <v>56869.120000000003</v>
      </c>
      <c r="M227" s="271">
        <v>56875</v>
      </c>
      <c r="N227" s="34" t="s">
        <v>899</v>
      </c>
      <c r="O227" s="34" t="s">
        <v>1198</v>
      </c>
      <c r="P227" s="272" t="s">
        <v>1212</v>
      </c>
    </row>
    <row r="228" spans="1:16" x14ac:dyDescent="0.25">
      <c r="A228" s="270" t="s">
        <v>411</v>
      </c>
      <c r="B228" s="31" t="s">
        <v>410</v>
      </c>
      <c r="C228" s="31" t="s">
        <v>418</v>
      </c>
      <c r="D228" s="31" t="s">
        <v>419</v>
      </c>
      <c r="E228" s="31" t="s">
        <v>159</v>
      </c>
      <c r="F228" s="31" t="s">
        <v>160</v>
      </c>
      <c r="G228" s="33" t="s">
        <v>583</v>
      </c>
      <c r="H228" s="33" t="s">
        <v>603</v>
      </c>
      <c r="I228" s="36" t="s">
        <v>553</v>
      </c>
      <c r="J228" s="36" t="s">
        <v>582</v>
      </c>
      <c r="K228" s="36" t="s">
        <v>896</v>
      </c>
      <c r="L228" s="37">
        <v>294314.57</v>
      </c>
      <c r="M228" s="271">
        <v>294325</v>
      </c>
      <c r="N228" s="34" t="s">
        <v>899</v>
      </c>
      <c r="O228" s="34" t="s">
        <v>1198</v>
      </c>
      <c r="P228" s="272" t="s">
        <v>1212</v>
      </c>
    </row>
    <row r="229" spans="1:16" x14ac:dyDescent="0.25">
      <c r="A229" s="270" t="s">
        <v>411</v>
      </c>
      <c r="B229" s="31" t="s">
        <v>410</v>
      </c>
      <c r="C229" s="31" t="s">
        <v>418</v>
      </c>
      <c r="D229" s="31" t="s">
        <v>419</v>
      </c>
      <c r="E229" s="31" t="s">
        <v>159</v>
      </c>
      <c r="F229" s="31" t="s">
        <v>160</v>
      </c>
      <c r="G229" s="33" t="s">
        <v>583</v>
      </c>
      <c r="H229" s="33" t="s">
        <v>603</v>
      </c>
      <c r="I229" s="36" t="s">
        <v>553</v>
      </c>
      <c r="J229" s="36" t="s">
        <v>881</v>
      </c>
      <c r="K229" s="36" t="s">
        <v>897</v>
      </c>
      <c r="L229" s="37">
        <v>79821.279999999999</v>
      </c>
      <c r="M229" s="271">
        <v>79830</v>
      </c>
      <c r="N229" s="34" t="s">
        <v>899</v>
      </c>
      <c r="O229" s="34" t="s">
        <v>1198</v>
      </c>
      <c r="P229" s="272" t="s">
        <v>1212</v>
      </c>
    </row>
    <row r="230" spans="1:16" x14ac:dyDescent="0.25">
      <c r="A230" s="270" t="s">
        <v>411</v>
      </c>
      <c r="B230" s="31" t="s">
        <v>410</v>
      </c>
      <c r="C230" s="31" t="s">
        <v>418</v>
      </c>
      <c r="D230" s="31" t="s">
        <v>419</v>
      </c>
      <c r="E230" s="31" t="s">
        <v>159</v>
      </c>
      <c r="F230" s="31" t="s">
        <v>160</v>
      </c>
      <c r="G230" s="33" t="s">
        <v>583</v>
      </c>
      <c r="H230" s="33" t="s">
        <v>603</v>
      </c>
      <c r="I230" s="36" t="s">
        <v>555</v>
      </c>
      <c r="J230" s="36" t="s">
        <v>579</v>
      </c>
      <c r="K230" s="36" t="s">
        <v>891</v>
      </c>
      <c r="L230" s="37">
        <v>238330.4</v>
      </c>
      <c r="M230" s="271">
        <v>238335</v>
      </c>
      <c r="N230" s="34" t="s">
        <v>899</v>
      </c>
      <c r="O230" s="34" t="s">
        <v>1198</v>
      </c>
      <c r="P230" s="272" t="s">
        <v>1212</v>
      </c>
    </row>
    <row r="231" spans="1:16" x14ac:dyDescent="0.25">
      <c r="A231" s="270" t="s">
        <v>411</v>
      </c>
      <c r="B231" s="31" t="s">
        <v>410</v>
      </c>
      <c r="C231" s="31" t="s">
        <v>418</v>
      </c>
      <c r="D231" s="31" t="s">
        <v>419</v>
      </c>
      <c r="E231" s="31" t="s">
        <v>159</v>
      </c>
      <c r="F231" s="31" t="s">
        <v>160</v>
      </c>
      <c r="G231" s="33" t="s">
        <v>583</v>
      </c>
      <c r="H231" s="33" t="s">
        <v>603</v>
      </c>
      <c r="I231" s="36" t="s">
        <v>555</v>
      </c>
      <c r="J231" s="36" t="s">
        <v>577</v>
      </c>
      <c r="K231" s="36" t="s">
        <v>1197</v>
      </c>
      <c r="L231" s="37">
        <v>131375.92000000001</v>
      </c>
      <c r="M231" s="271">
        <v>131380</v>
      </c>
      <c r="N231" s="34" t="s">
        <v>899</v>
      </c>
      <c r="O231" s="34" t="s">
        <v>1198</v>
      </c>
      <c r="P231" s="272" t="s">
        <v>1212</v>
      </c>
    </row>
    <row r="232" spans="1:16" x14ac:dyDescent="0.25">
      <c r="A232" s="270" t="s">
        <v>411</v>
      </c>
      <c r="B232" s="31" t="s">
        <v>410</v>
      </c>
      <c r="C232" s="31" t="s">
        <v>418</v>
      </c>
      <c r="D232" s="31" t="s">
        <v>419</v>
      </c>
      <c r="E232" s="31" t="s">
        <v>159</v>
      </c>
      <c r="F232" s="31" t="s">
        <v>160</v>
      </c>
      <c r="G232" s="33" t="s">
        <v>583</v>
      </c>
      <c r="H232" s="33" t="s">
        <v>603</v>
      </c>
      <c r="I232" s="36" t="s">
        <v>555</v>
      </c>
      <c r="J232" s="36" t="s">
        <v>578</v>
      </c>
      <c r="K232" s="36" t="s">
        <v>890</v>
      </c>
      <c r="L232" s="37">
        <v>60400.4</v>
      </c>
      <c r="M232" s="271">
        <v>60405</v>
      </c>
      <c r="N232" s="34" t="s">
        <v>899</v>
      </c>
      <c r="O232" s="34" t="s">
        <v>1198</v>
      </c>
      <c r="P232" s="272" t="s">
        <v>1212</v>
      </c>
    </row>
    <row r="233" spans="1:16" x14ac:dyDescent="0.25">
      <c r="A233" s="270" t="s">
        <v>411</v>
      </c>
      <c r="B233" s="31" t="s">
        <v>410</v>
      </c>
      <c r="C233" s="31" t="s">
        <v>418</v>
      </c>
      <c r="D233" s="31" t="s">
        <v>419</v>
      </c>
      <c r="E233" s="31" t="s">
        <v>159</v>
      </c>
      <c r="F233" s="31" t="s">
        <v>160</v>
      </c>
      <c r="G233" s="33" t="s">
        <v>583</v>
      </c>
      <c r="H233" s="33" t="s">
        <v>603</v>
      </c>
      <c r="I233" s="36" t="s">
        <v>555</v>
      </c>
      <c r="J233" s="36" t="s">
        <v>875</v>
      </c>
      <c r="K233" s="36" t="s">
        <v>895</v>
      </c>
      <c r="L233" s="37">
        <v>149121.28</v>
      </c>
      <c r="M233" s="271">
        <v>149125</v>
      </c>
      <c r="N233" s="34" t="s">
        <v>899</v>
      </c>
      <c r="O233" s="34" t="s">
        <v>1198</v>
      </c>
      <c r="P233" s="272" t="s">
        <v>1212</v>
      </c>
    </row>
    <row r="234" spans="1:16" x14ac:dyDescent="0.25">
      <c r="A234" s="270" t="s">
        <v>411</v>
      </c>
      <c r="B234" s="31" t="s">
        <v>410</v>
      </c>
      <c r="C234" s="31" t="s">
        <v>418</v>
      </c>
      <c r="D234" s="31" t="s">
        <v>419</v>
      </c>
      <c r="E234" s="31" t="s">
        <v>330</v>
      </c>
      <c r="F234" s="31" t="s">
        <v>333</v>
      </c>
      <c r="G234" s="33" t="s">
        <v>533</v>
      </c>
      <c r="H234" s="33" t="s">
        <v>603</v>
      </c>
      <c r="I234" s="36" t="s">
        <v>553</v>
      </c>
      <c r="J234" s="36" t="s">
        <v>582</v>
      </c>
      <c r="K234" s="36" t="s">
        <v>902</v>
      </c>
      <c r="L234" s="37">
        <v>14798</v>
      </c>
      <c r="M234" s="271">
        <v>15000</v>
      </c>
      <c r="N234" s="34" t="s">
        <v>899</v>
      </c>
      <c r="O234" s="34" t="s">
        <v>911</v>
      </c>
      <c r="P234" s="272" t="s">
        <v>1211</v>
      </c>
    </row>
    <row r="235" spans="1:16" x14ac:dyDescent="0.25">
      <c r="A235" s="270" t="s">
        <v>411</v>
      </c>
      <c r="B235" s="31" t="s">
        <v>410</v>
      </c>
      <c r="C235" s="31" t="s">
        <v>418</v>
      </c>
      <c r="D235" s="31" t="s">
        <v>421</v>
      </c>
      <c r="E235" s="31" t="s">
        <v>163</v>
      </c>
      <c r="F235" s="31" t="s">
        <v>422</v>
      </c>
      <c r="G235" s="33" t="s">
        <v>583</v>
      </c>
      <c r="H235" s="33" t="s">
        <v>603</v>
      </c>
      <c r="I235" s="36" t="s">
        <v>552</v>
      </c>
      <c r="J235" s="36" t="s">
        <v>591</v>
      </c>
      <c r="K235" s="36" t="s">
        <v>1016</v>
      </c>
      <c r="L235" s="37">
        <v>0</v>
      </c>
      <c r="M235" s="271">
        <v>0</v>
      </c>
      <c r="N235" s="34" t="s">
        <v>899</v>
      </c>
      <c r="O235" s="34" t="s">
        <v>912</v>
      </c>
      <c r="P235" s="272" t="s">
        <v>1213</v>
      </c>
    </row>
    <row r="236" spans="1:16" x14ac:dyDescent="0.25">
      <c r="A236" s="270" t="s">
        <v>411</v>
      </c>
      <c r="B236" s="31" t="s">
        <v>410</v>
      </c>
      <c r="C236" s="31" t="s">
        <v>418</v>
      </c>
      <c r="D236" s="31" t="s">
        <v>421</v>
      </c>
      <c r="E236" s="31" t="s">
        <v>163</v>
      </c>
      <c r="F236" s="31" t="s">
        <v>422</v>
      </c>
      <c r="G236" s="33" t="s">
        <v>583</v>
      </c>
      <c r="H236" s="33" t="s">
        <v>603</v>
      </c>
      <c r="I236" s="36" t="s">
        <v>552</v>
      </c>
      <c r="J236" s="36" t="s">
        <v>580</v>
      </c>
      <c r="K236" s="36" t="s">
        <v>892</v>
      </c>
      <c r="L236" s="37">
        <v>12575.77</v>
      </c>
      <c r="M236" s="271">
        <v>12600</v>
      </c>
      <c r="N236" s="34" t="s">
        <v>899</v>
      </c>
      <c r="O236" s="34" t="s">
        <v>912</v>
      </c>
      <c r="P236" s="272" t="s">
        <v>1213</v>
      </c>
    </row>
    <row r="237" spans="1:16" x14ac:dyDescent="0.25">
      <c r="A237" s="270" t="s">
        <v>411</v>
      </c>
      <c r="B237" s="31" t="s">
        <v>410</v>
      </c>
      <c r="C237" s="31" t="s">
        <v>418</v>
      </c>
      <c r="D237" s="31" t="s">
        <v>421</v>
      </c>
      <c r="E237" s="31" t="s">
        <v>163</v>
      </c>
      <c r="F237" s="31" t="s">
        <v>422</v>
      </c>
      <c r="G237" s="33" t="s">
        <v>583</v>
      </c>
      <c r="H237" s="33" t="s">
        <v>603</v>
      </c>
      <c r="I237" s="36" t="s">
        <v>553</v>
      </c>
      <c r="J237" s="36" t="s">
        <v>581</v>
      </c>
      <c r="K237" s="36" t="s">
        <v>893</v>
      </c>
      <c r="L237" s="37">
        <v>0</v>
      </c>
      <c r="M237" s="271">
        <v>0</v>
      </c>
      <c r="N237" s="34" t="s">
        <v>899</v>
      </c>
      <c r="O237" s="34" t="s">
        <v>912</v>
      </c>
      <c r="P237" s="272" t="s">
        <v>1213</v>
      </c>
    </row>
    <row r="238" spans="1:16" x14ac:dyDescent="0.25">
      <c r="A238" s="270" t="s">
        <v>411</v>
      </c>
      <c r="B238" s="31" t="s">
        <v>410</v>
      </c>
      <c r="C238" s="31" t="s">
        <v>418</v>
      </c>
      <c r="D238" s="31" t="s">
        <v>421</v>
      </c>
      <c r="E238" s="31" t="s">
        <v>163</v>
      </c>
      <c r="F238" s="31" t="s">
        <v>422</v>
      </c>
      <c r="G238" s="33" t="s">
        <v>583</v>
      </c>
      <c r="H238" s="33" t="s">
        <v>603</v>
      </c>
      <c r="I238" s="36" t="s">
        <v>553</v>
      </c>
      <c r="J238" s="36" t="s">
        <v>889</v>
      </c>
      <c r="K238" s="36" t="s">
        <v>894</v>
      </c>
      <c r="L238" s="37">
        <v>0</v>
      </c>
      <c r="M238" s="271">
        <v>0</v>
      </c>
      <c r="N238" s="34" t="s">
        <v>899</v>
      </c>
      <c r="O238" s="34" t="s">
        <v>912</v>
      </c>
      <c r="P238" s="272" t="s">
        <v>1213</v>
      </c>
    </row>
    <row r="239" spans="1:16" x14ac:dyDescent="0.25">
      <c r="A239" s="270" t="s">
        <v>411</v>
      </c>
      <c r="B239" s="31" t="s">
        <v>410</v>
      </c>
      <c r="C239" s="31" t="s">
        <v>418</v>
      </c>
      <c r="D239" s="31" t="s">
        <v>421</v>
      </c>
      <c r="E239" s="31" t="s">
        <v>163</v>
      </c>
      <c r="F239" s="31" t="s">
        <v>422</v>
      </c>
      <c r="G239" s="33" t="s">
        <v>583</v>
      </c>
      <c r="H239" s="33" t="s">
        <v>603</v>
      </c>
      <c r="I239" s="36" t="s">
        <v>553</v>
      </c>
      <c r="J239" s="36" t="s">
        <v>582</v>
      </c>
      <c r="K239" s="36" t="s">
        <v>896</v>
      </c>
      <c r="L239" s="37">
        <v>12575.77</v>
      </c>
      <c r="M239" s="271">
        <v>12600</v>
      </c>
      <c r="N239" s="34" t="s">
        <v>899</v>
      </c>
      <c r="O239" s="34" t="s">
        <v>912</v>
      </c>
      <c r="P239" s="272" t="s">
        <v>1213</v>
      </c>
    </row>
    <row r="240" spans="1:16" x14ac:dyDescent="0.25">
      <c r="A240" s="270" t="s">
        <v>411</v>
      </c>
      <c r="B240" s="31" t="s">
        <v>410</v>
      </c>
      <c r="C240" s="31" t="s">
        <v>418</v>
      </c>
      <c r="D240" s="31" t="s">
        <v>421</v>
      </c>
      <c r="E240" s="31" t="s">
        <v>163</v>
      </c>
      <c r="F240" s="31" t="s">
        <v>422</v>
      </c>
      <c r="G240" s="33" t="s">
        <v>583</v>
      </c>
      <c r="H240" s="33" t="s">
        <v>603</v>
      </c>
      <c r="I240" s="36" t="s">
        <v>553</v>
      </c>
      <c r="J240" s="36" t="s">
        <v>881</v>
      </c>
      <c r="K240" s="36" t="s">
        <v>897</v>
      </c>
      <c r="L240" s="37">
        <v>0</v>
      </c>
      <c r="M240" s="271">
        <v>0</v>
      </c>
      <c r="N240" s="34" t="s">
        <v>899</v>
      </c>
      <c r="O240" s="34" t="s">
        <v>912</v>
      </c>
      <c r="P240" s="272" t="s">
        <v>1213</v>
      </c>
    </row>
    <row r="241" spans="1:16" x14ac:dyDescent="0.25">
      <c r="A241" s="270" t="s">
        <v>411</v>
      </c>
      <c r="B241" s="31" t="s">
        <v>410</v>
      </c>
      <c r="C241" s="31" t="s">
        <v>418</v>
      </c>
      <c r="D241" s="31" t="s">
        <v>421</v>
      </c>
      <c r="E241" s="31" t="s">
        <v>163</v>
      </c>
      <c r="F241" s="31" t="s">
        <v>422</v>
      </c>
      <c r="G241" s="33" t="s">
        <v>583</v>
      </c>
      <c r="H241" s="33" t="s">
        <v>603</v>
      </c>
      <c r="I241" s="36" t="s">
        <v>555</v>
      </c>
      <c r="J241" s="36" t="s">
        <v>579</v>
      </c>
      <c r="K241" s="36" t="s">
        <v>891</v>
      </c>
      <c r="L241" s="37">
        <v>12575.77</v>
      </c>
      <c r="M241" s="271">
        <v>12600</v>
      </c>
      <c r="N241" s="34" t="s">
        <v>899</v>
      </c>
      <c r="O241" s="34" t="s">
        <v>912</v>
      </c>
      <c r="P241" s="272" t="s">
        <v>1213</v>
      </c>
    </row>
    <row r="242" spans="1:16" x14ac:dyDescent="0.25">
      <c r="A242" s="270" t="s">
        <v>411</v>
      </c>
      <c r="B242" s="31" t="s">
        <v>410</v>
      </c>
      <c r="C242" s="31" t="s">
        <v>418</v>
      </c>
      <c r="D242" s="31" t="s">
        <v>421</v>
      </c>
      <c r="E242" s="31" t="s">
        <v>163</v>
      </c>
      <c r="F242" s="31" t="s">
        <v>422</v>
      </c>
      <c r="G242" s="33" t="s">
        <v>583</v>
      </c>
      <c r="H242" s="33" t="s">
        <v>603</v>
      </c>
      <c r="I242" s="36" t="s">
        <v>555</v>
      </c>
      <c r="J242" s="36" t="s">
        <v>577</v>
      </c>
      <c r="K242" s="36" t="s">
        <v>1197</v>
      </c>
      <c r="L242" s="37">
        <v>0</v>
      </c>
      <c r="M242" s="271">
        <v>0</v>
      </c>
      <c r="N242" s="34" t="s">
        <v>899</v>
      </c>
      <c r="O242" s="34" t="s">
        <v>912</v>
      </c>
      <c r="P242" s="272" t="s">
        <v>1213</v>
      </c>
    </row>
    <row r="243" spans="1:16" x14ac:dyDescent="0.25">
      <c r="A243" s="270" t="s">
        <v>411</v>
      </c>
      <c r="B243" s="31" t="s">
        <v>410</v>
      </c>
      <c r="C243" s="31" t="s">
        <v>418</v>
      </c>
      <c r="D243" s="31" t="s">
        <v>421</v>
      </c>
      <c r="E243" s="31" t="s">
        <v>163</v>
      </c>
      <c r="F243" s="31" t="s">
        <v>422</v>
      </c>
      <c r="G243" s="33" t="s">
        <v>583</v>
      </c>
      <c r="H243" s="33" t="s">
        <v>603</v>
      </c>
      <c r="I243" s="36" t="s">
        <v>555</v>
      </c>
      <c r="J243" s="36" t="s">
        <v>578</v>
      </c>
      <c r="K243" s="36" t="s">
        <v>890</v>
      </c>
      <c r="L243" s="37">
        <v>0</v>
      </c>
      <c r="M243" s="271">
        <v>0</v>
      </c>
      <c r="N243" s="34" t="s">
        <v>899</v>
      </c>
      <c r="O243" s="34" t="s">
        <v>912</v>
      </c>
      <c r="P243" s="272" t="s">
        <v>1213</v>
      </c>
    </row>
    <row r="244" spans="1:16" x14ac:dyDescent="0.25">
      <c r="A244" s="270" t="s">
        <v>411</v>
      </c>
      <c r="B244" s="31" t="s">
        <v>410</v>
      </c>
      <c r="C244" s="31" t="s">
        <v>418</v>
      </c>
      <c r="D244" s="31" t="s">
        <v>421</v>
      </c>
      <c r="E244" s="31" t="s">
        <v>163</v>
      </c>
      <c r="F244" s="31" t="s">
        <v>422</v>
      </c>
      <c r="G244" s="33" t="s">
        <v>583</v>
      </c>
      <c r="H244" s="33" t="s">
        <v>603</v>
      </c>
      <c r="I244" s="36" t="s">
        <v>555</v>
      </c>
      <c r="J244" s="36" t="s">
        <v>875</v>
      </c>
      <c r="K244" s="36" t="s">
        <v>895</v>
      </c>
      <c r="L244" s="37">
        <v>12575.77</v>
      </c>
      <c r="M244" s="271">
        <v>12600</v>
      </c>
      <c r="N244" s="34" t="s">
        <v>899</v>
      </c>
      <c r="O244" s="34" t="s">
        <v>912</v>
      </c>
      <c r="P244" s="272" t="s">
        <v>1213</v>
      </c>
    </row>
    <row r="245" spans="1:16" x14ac:dyDescent="0.25">
      <c r="A245" s="270" t="s">
        <v>411</v>
      </c>
      <c r="B245" s="31" t="s">
        <v>410</v>
      </c>
      <c r="C245" s="31" t="s">
        <v>418</v>
      </c>
      <c r="D245" s="31" t="s">
        <v>421</v>
      </c>
      <c r="E245" s="31" t="s">
        <v>164</v>
      </c>
      <c r="F245" s="31" t="s">
        <v>423</v>
      </c>
      <c r="G245" s="33" t="s">
        <v>583</v>
      </c>
      <c r="H245" s="33" t="s">
        <v>603</v>
      </c>
      <c r="I245" s="36" t="s">
        <v>553</v>
      </c>
      <c r="J245" s="36" t="s">
        <v>582</v>
      </c>
      <c r="K245" s="36" t="s">
        <v>896</v>
      </c>
      <c r="L245" s="37">
        <v>319280.31</v>
      </c>
      <c r="M245" s="271">
        <v>319300</v>
      </c>
      <c r="N245" s="34" t="s">
        <v>899</v>
      </c>
      <c r="O245" s="34" t="s">
        <v>1198</v>
      </c>
      <c r="P245" s="272" t="s">
        <v>1214</v>
      </c>
    </row>
    <row r="246" spans="1:16" x14ac:dyDescent="0.25">
      <c r="A246" s="270" t="s">
        <v>411</v>
      </c>
      <c r="B246" s="31" t="s">
        <v>410</v>
      </c>
      <c r="C246" s="31" t="s">
        <v>418</v>
      </c>
      <c r="D246" s="31" t="s">
        <v>421</v>
      </c>
      <c r="E246" s="31" t="s">
        <v>165</v>
      </c>
      <c r="F246" s="31" t="s">
        <v>166</v>
      </c>
      <c r="G246" s="33" t="s">
        <v>583</v>
      </c>
      <c r="H246" s="33" t="s">
        <v>603</v>
      </c>
      <c r="I246" s="36" t="s">
        <v>552</v>
      </c>
      <c r="J246" s="36" t="s">
        <v>591</v>
      </c>
      <c r="K246" s="36" t="s">
        <v>1016</v>
      </c>
      <c r="L246" s="37">
        <v>15792.03</v>
      </c>
      <c r="M246" s="271">
        <v>15800</v>
      </c>
      <c r="N246" s="34" t="s">
        <v>899</v>
      </c>
      <c r="O246" s="34" t="s">
        <v>1198</v>
      </c>
      <c r="P246" s="272" t="s">
        <v>1215</v>
      </c>
    </row>
    <row r="247" spans="1:16" x14ac:dyDescent="0.25">
      <c r="A247" s="270" t="s">
        <v>411</v>
      </c>
      <c r="B247" s="31" t="s">
        <v>410</v>
      </c>
      <c r="C247" s="31" t="s">
        <v>418</v>
      </c>
      <c r="D247" s="31" t="s">
        <v>421</v>
      </c>
      <c r="E247" s="31" t="s">
        <v>165</v>
      </c>
      <c r="F247" s="31" t="s">
        <v>166</v>
      </c>
      <c r="G247" s="33" t="s">
        <v>583</v>
      </c>
      <c r="H247" s="33" t="s">
        <v>603</v>
      </c>
      <c r="I247" s="36" t="s">
        <v>552</v>
      </c>
      <c r="J247" s="36" t="s">
        <v>580</v>
      </c>
      <c r="K247" s="36" t="s">
        <v>892</v>
      </c>
      <c r="L247" s="37">
        <v>15792.03</v>
      </c>
      <c r="M247" s="271">
        <v>15800</v>
      </c>
      <c r="N247" s="34" t="s">
        <v>899</v>
      </c>
      <c r="O247" s="34" t="s">
        <v>1198</v>
      </c>
      <c r="P247" s="272" t="s">
        <v>1215</v>
      </c>
    </row>
    <row r="248" spans="1:16" x14ac:dyDescent="0.25">
      <c r="A248" s="270" t="s">
        <v>411</v>
      </c>
      <c r="B248" s="31" t="s">
        <v>410</v>
      </c>
      <c r="C248" s="31" t="s">
        <v>418</v>
      </c>
      <c r="D248" s="31" t="s">
        <v>421</v>
      </c>
      <c r="E248" s="31" t="s">
        <v>165</v>
      </c>
      <c r="F248" s="31" t="s">
        <v>166</v>
      </c>
      <c r="G248" s="33" t="s">
        <v>583</v>
      </c>
      <c r="H248" s="33" t="s">
        <v>603</v>
      </c>
      <c r="I248" s="36" t="s">
        <v>553</v>
      </c>
      <c r="J248" s="36" t="s">
        <v>581</v>
      </c>
      <c r="K248" s="36" t="s">
        <v>893</v>
      </c>
      <c r="L248" s="37">
        <v>15792.03</v>
      </c>
      <c r="M248" s="271">
        <v>15800</v>
      </c>
      <c r="N248" s="34" t="s">
        <v>899</v>
      </c>
      <c r="O248" s="34" t="s">
        <v>1198</v>
      </c>
      <c r="P248" s="272" t="s">
        <v>1215</v>
      </c>
    </row>
    <row r="249" spans="1:16" x14ac:dyDescent="0.25">
      <c r="A249" s="270" t="s">
        <v>411</v>
      </c>
      <c r="B249" s="31" t="s">
        <v>410</v>
      </c>
      <c r="C249" s="31" t="s">
        <v>418</v>
      </c>
      <c r="D249" s="31" t="s">
        <v>421</v>
      </c>
      <c r="E249" s="31" t="s">
        <v>165</v>
      </c>
      <c r="F249" s="31" t="s">
        <v>166</v>
      </c>
      <c r="G249" s="33" t="s">
        <v>583</v>
      </c>
      <c r="H249" s="33" t="s">
        <v>603</v>
      </c>
      <c r="I249" s="36" t="s">
        <v>553</v>
      </c>
      <c r="J249" s="36" t="s">
        <v>889</v>
      </c>
      <c r="K249" s="36" t="s">
        <v>894</v>
      </c>
      <c r="L249" s="37">
        <v>15792.03</v>
      </c>
      <c r="M249" s="271">
        <v>15800</v>
      </c>
      <c r="N249" s="34" t="s">
        <v>899</v>
      </c>
      <c r="O249" s="34" t="s">
        <v>1198</v>
      </c>
      <c r="P249" s="272" t="s">
        <v>1215</v>
      </c>
    </row>
    <row r="250" spans="1:16" x14ac:dyDescent="0.25">
      <c r="A250" s="270" t="s">
        <v>411</v>
      </c>
      <c r="B250" s="31" t="s">
        <v>410</v>
      </c>
      <c r="C250" s="31" t="s">
        <v>418</v>
      </c>
      <c r="D250" s="31" t="s">
        <v>421</v>
      </c>
      <c r="E250" s="31" t="s">
        <v>165</v>
      </c>
      <c r="F250" s="31" t="s">
        <v>166</v>
      </c>
      <c r="G250" s="33" t="s">
        <v>583</v>
      </c>
      <c r="H250" s="33" t="s">
        <v>603</v>
      </c>
      <c r="I250" s="36" t="s">
        <v>553</v>
      </c>
      <c r="J250" s="36" t="s">
        <v>582</v>
      </c>
      <c r="K250" s="36" t="s">
        <v>896</v>
      </c>
      <c r="L250" s="37">
        <v>15792.03</v>
      </c>
      <c r="M250" s="271">
        <v>15800</v>
      </c>
      <c r="N250" s="34" t="s">
        <v>899</v>
      </c>
      <c r="O250" s="34" t="s">
        <v>1198</v>
      </c>
      <c r="P250" s="272" t="s">
        <v>1215</v>
      </c>
    </row>
    <row r="251" spans="1:16" x14ac:dyDescent="0.25">
      <c r="A251" s="270" t="s">
        <v>411</v>
      </c>
      <c r="B251" s="31" t="s">
        <v>410</v>
      </c>
      <c r="C251" s="31" t="s">
        <v>418</v>
      </c>
      <c r="D251" s="31" t="s">
        <v>421</v>
      </c>
      <c r="E251" s="31" t="s">
        <v>165</v>
      </c>
      <c r="F251" s="31" t="s">
        <v>166</v>
      </c>
      <c r="G251" s="33" t="s">
        <v>583</v>
      </c>
      <c r="H251" s="33" t="s">
        <v>603</v>
      </c>
      <c r="I251" s="36" t="s">
        <v>553</v>
      </c>
      <c r="J251" s="36" t="s">
        <v>881</v>
      </c>
      <c r="K251" s="36" t="s">
        <v>897</v>
      </c>
      <c r="L251" s="37">
        <v>15792.03</v>
      </c>
      <c r="M251" s="271">
        <v>15800</v>
      </c>
      <c r="N251" s="34" t="s">
        <v>899</v>
      </c>
      <c r="O251" s="34" t="s">
        <v>1198</v>
      </c>
      <c r="P251" s="272" t="s">
        <v>1215</v>
      </c>
    </row>
    <row r="252" spans="1:16" x14ac:dyDescent="0.25">
      <c r="A252" s="270" t="s">
        <v>411</v>
      </c>
      <c r="B252" s="31" t="s">
        <v>410</v>
      </c>
      <c r="C252" s="31" t="s">
        <v>418</v>
      </c>
      <c r="D252" s="31" t="s">
        <v>421</v>
      </c>
      <c r="E252" s="31" t="s">
        <v>165</v>
      </c>
      <c r="F252" s="31" t="s">
        <v>166</v>
      </c>
      <c r="G252" s="33" t="s">
        <v>583</v>
      </c>
      <c r="H252" s="33" t="s">
        <v>603</v>
      </c>
      <c r="I252" s="36" t="s">
        <v>555</v>
      </c>
      <c r="J252" s="36" t="s">
        <v>579</v>
      </c>
      <c r="K252" s="36" t="s">
        <v>891</v>
      </c>
      <c r="L252" s="37">
        <v>15792.03</v>
      </c>
      <c r="M252" s="271">
        <v>15800</v>
      </c>
      <c r="N252" s="34" t="s">
        <v>899</v>
      </c>
      <c r="O252" s="34" t="s">
        <v>1198</v>
      </c>
      <c r="P252" s="272" t="s">
        <v>1215</v>
      </c>
    </row>
    <row r="253" spans="1:16" x14ac:dyDescent="0.25">
      <c r="A253" s="270" t="s">
        <v>411</v>
      </c>
      <c r="B253" s="31" t="s">
        <v>410</v>
      </c>
      <c r="C253" s="31" t="s">
        <v>418</v>
      </c>
      <c r="D253" s="31" t="s">
        <v>421</v>
      </c>
      <c r="E253" s="31" t="s">
        <v>165</v>
      </c>
      <c r="F253" s="31" t="s">
        <v>166</v>
      </c>
      <c r="G253" s="33" t="s">
        <v>583</v>
      </c>
      <c r="H253" s="33" t="s">
        <v>603</v>
      </c>
      <c r="I253" s="36" t="s">
        <v>555</v>
      </c>
      <c r="J253" s="36" t="s">
        <v>577</v>
      </c>
      <c r="K253" s="36" t="s">
        <v>1197</v>
      </c>
      <c r="L253" s="37">
        <v>15792.03</v>
      </c>
      <c r="M253" s="271">
        <v>15800</v>
      </c>
      <c r="N253" s="34" t="s">
        <v>899</v>
      </c>
      <c r="O253" s="34" t="s">
        <v>1198</v>
      </c>
      <c r="P253" s="272" t="s">
        <v>1215</v>
      </c>
    </row>
    <row r="254" spans="1:16" x14ac:dyDescent="0.25">
      <c r="A254" s="270" t="s">
        <v>411</v>
      </c>
      <c r="B254" s="31" t="s">
        <v>410</v>
      </c>
      <c r="C254" s="31" t="s">
        <v>418</v>
      </c>
      <c r="D254" s="31" t="s">
        <v>421</v>
      </c>
      <c r="E254" s="31" t="s">
        <v>165</v>
      </c>
      <c r="F254" s="31" t="s">
        <v>166</v>
      </c>
      <c r="G254" s="33" t="s">
        <v>583</v>
      </c>
      <c r="H254" s="33" t="s">
        <v>603</v>
      </c>
      <c r="I254" s="36" t="s">
        <v>555</v>
      </c>
      <c r="J254" s="36" t="s">
        <v>578</v>
      </c>
      <c r="K254" s="36" t="s">
        <v>890</v>
      </c>
      <c r="L254" s="37">
        <v>15792.03</v>
      </c>
      <c r="M254" s="271">
        <v>15800</v>
      </c>
      <c r="N254" s="34" t="s">
        <v>899</v>
      </c>
      <c r="O254" s="34" t="s">
        <v>1198</v>
      </c>
      <c r="P254" s="272" t="s">
        <v>1215</v>
      </c>
    </row>
    <row r="255" spans="1:16" x14ac:dyDescent="0.25">
      <c r="A255" s="270" t="s">
        <v>411</v>
      </c>
      <c r="B255" s="31" t="s">
        <v>410</v>
      </c>
      <c r="C255" s="31" t="s">
        <v>418</v>
      </c>
      <c r="D255" s="31" t="s">
        <v>421</v>
      </c>
      <c r="E255" s="31" t="s">
        <v>165</v>
      </c>
      <c r="F255" s="31" t="s">
        <v>166</v>
      </c>
      <c r="G255" s="33" t="s">
        <v>583</v>
      </c>
      <c r="H255" s="33" t="s">
        <v>603</v>
      </c>
      <c r="I255" s="36" t="s">
        <v>555</v>
      </c>
      <c r="J255" s="36" t="s">
        <v>875</v>
      </c>
      <c r="K255" s="36" t="s">
        <v>895</v>
      </c>
      <c r="L255" s="37">
        <v>15792.03</v>
      </c>
      <c r="M255" s="271">
        <v>15800</v>
      </c>
      <c r="N255" s="34" t="s">
        <v>899</v>
      </c>
      <c r="O255" s="34" t="s">
        <v>1198</v>
      </c>
      <c r="P255" s="272" t="s">
        <v>1215</v>
      </c>
    </row>
    <row r="256" spans="1:16" x14ac:dyDescent="0.25">
      <c r="A256" s="270" t="s">
        <v>411</v>
      </c>
      <c r="B256" s="31" t="s">
        <v>410</v>
      </c>
      <c r="C256" s="31" t="s">
        <v>418</v>
      </c>
      <c r="D256" s="31" t="s">
        <v>421</v>
      </c>
      <c r="E256" s="31" t="s">
        <v>901</v>
      </c>
      <c r="F256" s="31" t="s">
        <v>900</v>
      </c>
      <c r="G256" s="33" t="s">
        <v>583</v>
      </c>
      <c r="H256" s="33" t="s">
        <v>603</v>
      </c>
      <c r="I256" s="36" t="s">
        <v>552</v>
      </c>
      <c r="J256" s="36" t="s">
        <v>591</v>
      </c>
      <c r="K256" s="36" t="s">
        <v>1016</v>
      </c>
      <c r="L256" s="37">
        <v>34597.15</v>
      </c>
      <c r="M256" s="271">
        <v>34605</v>
      </c>
      <c r="N256" s="34" t="s">
        <v>899</v>
      </c>
      <c r="O256" s="34" t="s">
        <v>1198</v>
      </c>
      <c r="P256" s="272" t="s">
        <v>1216</v>
      </c>
    </row>
    <row r="257" spans="1:16" x14ac:dyDescent="0.25">
      <c r="A257" s="270" t="s">
        <v>411</v>
      </c>
      <c r="B257" s="31" t="s">
        <v>410</v>
      </c>
      <c r="C257" s="31" t="s">
        <v>418</v>
      </c>
      <c r="D257" s="31" t="s">
        <v>421</v>
      </c>
      <c r="E257" s="31" t="s">
        <v>901</v>
      </c>
      <c r="F257" s="31" t="s">
        <v>900</v>
      </c>
      <c r="G257" s="33" t="s">
        <v>583</v>
      </c>
      <c r="H257" s="33" t="s">
        <v>603</v>
      </c>
      <c r="I257" s="36" t="s">
        <v>552</v>
      </c>
      <c r="J257" s="36" t="s">
        <v>580</v>
      </c>
      <c r="K257" s="36" t="s">
        <v>892</v>
      </c>
      <c r="L257" s="37">
        <v>276777.18</v>
      </c>
      <c r="M257" s="271">
        <v>276780</v>
      </c>
      <c r="N257" s="34" t="s">
        <v>899</v>
      </c>
      <c r="O257" s="34" t="s">
        <v>1198</v>
      </c>
      <c r="P257" s="272" t="s">
        <v>1216</v>
      </c>
    </row>
    <row r="258" spans="1:16" x14ac:dyDescent="0.25">
      <c r="A258" s="270" t="s">
        <v>411</v>
      </c>
      <c r="B258" s="31" t="s">
        <v>410</v>
      </c>
      <c r="C258" s="31" t="s">
        <v>418</v>
      </c>
      <c r="D258" s="31" t="s">
        <v>421</v>
      </c>
      <c r="E258" s="31" t="s">
        <v>901</v>
      </c>
      <c r="F258" s="31" t="s">
        <v>900</v>
      </c>
      <c r="G258" s="33" t="s">
        <v>583</v>
      </c>
      <c r="H258" s="33" t="s">
        <v>603</v>
      </c>
      <c r="I258" s="36" t="s">
        <v>553</v>
      </c>
      <c r="J258" s="36" t="s">
        <v>581</v>
      </c>
      <c r="K258" s="36" t="s">
        <v>893</v>
      </c>
      <c r="L258" s="37">
        <v>126856.21</v>
      </c>
      <c r="M258" s="271">
        <v>126865</v>
      </c>
      <c r="N258" s="34" t="s">
        <v>899</v>
      </c>
      <c r="O258" s="34" t="s">
        <v>1198</v>
      </c>
      <c r="P258" s="272" t="s">
        <v>1216</v>
      </c>
    </row>
    <row r="259" spans="1:16" x14ac:dyDescent="0.25">
      <c r="A259" s="270" t="s">
        <v>411</v>
      </c>
      <c r="B259" s="31" t="s">
        <v>410</v>
      </c>
      <c r="C259" s="31" t="s">
        <v>418</v>
      </c>
      <c r="D259" s="31" t="s">
        <v>421</v>
      </c>
      <c r="E259" s="31" t="s">
        <v>901</v>
      </c>
      <c r="F259" s="31" t="s">
        <v>900</v>
      </c>
      <c r="G259" s="33" t="s">
        <v>583</v>
      </c>
      <c r="H259" s="33" t="s">
        <v>603</v>
      </c>
      <c r="I259" s="36" t="s">
        <v>553</v>
      </c>
      <c r="J259" s="36" t="s">
        <v>889</v>
      </c>
      <c r="K259" s="36" t="s">
        <v>894</v>
      </c>
      <c r="L259" s="37">
        <v>103791.44</v>
      </c>
      <c r="M259" s="271">
        <v>103795</v>
      </c>
      <c r="N259" s="34" t="s">
        <v>899</v>
      </c>
      <c r="O259" s="34" t="s">
        <v>1198</v>
      </c>
      <c r="P259" s="272" t="s">
        <v>1216</v>
      </c>
    </row>
    <row r="260" spans="1:16" x14ac:dyDescent="0.25">
      <c r="A260" s="270" t="s">
        <v>411</v>
      </c>
      <c r="B260" s="31" t="s">
        <v>410</v>
      </c>
      <c r="C260" s="31" t="s">
        <v>418</v>
      </c>
      <c r="D260" s="31" t="s">
        <v>421</v>
      </c>
      <c r="E260" s="31" t="s">
        <v>901</v>
      </c>
      <c r="F260" s="31" t="s">
        <v>900</v>
      </c>
      <c r="G260" s="33" t="s">
        <v>583</v>
      </c>
      <c r="H260" s="33" t="s">
        <v>603</v>
      </c>
      <c r="I260" s="36" t="s">
        <v>553</v>
      </c>
      <c r="J260" s="36" t="s">
        <v>582</v>
      </c>
      <c r="K260" s="36" t="s">
        <v>896</v>
      </c>
      <c r="L260" s="37">
        <v>345971.47</v>
      </c>
      <c r="M260" s="271">
        <v>345980</v>
      </c>
      <c r="N260" s="34" t="s">
        <v>899</v>
      </c>
      <c r="O260" s="34" t="s">
        <v>1198</v>
      </c>
      <c r="P260" s="272" t="s">
        <v>1216</v>
      </c>
    </row>
    <row r="261" spans="1:16" x14ac:dyDescent="0.25">
      <c r="A261" s="270" t="s">
        <v>411</v>
      </c>
      <c r="B261" s="31" t="s">
        <v>410</v>
      </c>
      <c r="C261" s="31" t="s">
        <v>418</v>
      </c>
      <c r="D261" s="31" t="s">
        <v>421</v>
      </c>
      <c r="E261" s="31" t="s">
        <v>901</v>
      </c>
      <c r="F261" s="31" t="s">
        <v>900</v>
      </c>
      <c r="G261" s="33" t="s">
        <v>583</v>
      </c>
      <c r="H261" s="33" t="s">
        <v>603</v>
      </c>
      <c r="I261" s="36" t="s">
        <v>553</v>
      </c>
      <c r="J261" s="36" t="s">
        <v>881</v>
      </c>
      <c r="K261" s="36" t="s">
        <v>897</v>
      </c>
      <c r="L261" s="37">
        <v>126856.21</v>
      </c>
      <c r="M261" s="271">
        <v>126865</v>
      </c>
      <c r="N261" s="34" t="s">
        <v>899</v>
      </c>
      <c r="O261" s="34" t="s">
        <v>1198</v>
      </c>
      <c r="P261" s="272" t="s">
        <v>1216</v>
      </c>
    </row>
    <row r="262" spans="1:16" x14ac:dyDescent="0.25">
      <c r="A262" s="270" t="s">
        <v>411</v>
      </c>
      <c r="B262" s="31" t="s">
        <v>410</v>
      </c>
      <c r="C262" s="31" t="s">
        <v>418</v>
      </c>
      <c r="D262" s="31" t="s">
        <v>421</v>
      </c>
      <c r="E262" s="31" t="s">
        <v>901</v>
      </c>
      <c r="F262" s="31" t="s">
        <v>900</v>
      </c>
      <c r="G262" s="33" t="s">
        <v>583</v>
      </c>
      <c r="H262" s="33" t="s">
        <v>603</v>
      </c>
      <c r="I262" s="36" t="s">
        <v>555</v>
      </c>
      <c r="J262" s="36" t="s">
        <v>579</v>
      </c>
      <c r="K262" s="36" t="s">
        <v>891</v>
      </c>
      <c r="L262" s="37">
        <v>380568.62</v>
      </c>
      <c r="M262" s="271">
        <v>380570</v>
      </c>
      <c r="N262" s="34" t="s">
        <v>899</v>
      </c>
      <c r="O262" s="34" t="s">
        <v>1198</v>
      </c>
      <c r="P262" s="272" t="s">
        <v>1216</v>
      </c>
    </row>
    <row r="263" spans="1:16" x14ac:dyDescent="0.25">
      <c r="A263" s="270" t="s">
        <v>411</v>
      </c>
      <c r="B263" s="31" t="s">
        <v>410</v>
      </c>
      <c r="C263" s="31" t="s">
        <v>418</v>
      </c>
      <c r="D263" s="31" t="s">
        <v>421</v>
      </c>
      <c r="E263" s="31" t="s">
        <v>901</v>
      </c>
      <c r="F263" s="31" t="s">
        <v>900</v>
      </c>
      <c r="G263" s="33" t="s">
        <v>583</v>
      </c>
      <c r="H263" s="33" t="s">
        <v>603</v>
      </c>
      <c r="I263" s="36" t="s">
        <v>555</v>
      </c>
      <c r="J263" s="36" t="s">
        <v>577</v>
      </c>
      <c r="K263" s="36" t="s">
        <v>1197</v>
      </c>
      <c r="L263" s="37">
        <v>184518.12</v>
      </c>
      <c r="M263" s="271">
        <v>184520</v>
      </c>
      <c r="N263" s="34" t="s">
        <v>899</v>
      </c>
      <c r="O263" s="34" t="s">
        <v>1198</v>
      </c>
      <c r="P263" s="272" t="s">
        <v>1216</v>
      </c>
    </row>
    <row r="264" spans="1:16" x14ac:dyDescent="0.25">
      <c r="A264" s="270" t="s">
        <v>411</v>
      </c>
      <c r="B264" s="31" t="s">
        <v>410</v>
      </c>
      <c r="C264" s="31" t="s">
        <v>418</v>
      </c>
      <c r="D264" s="31" t="s">
        <v>421</v>
      </c>
      <c r="E264" s="31" t="s">
        <v>901</v>
      </c>
      <c r="F264" s="31" t="s">
        <v>900</v>
      </c>
      <c r="G264" s="33" t="s">
        <v>583</v>
      </c>
      <c r="H264" s="33" t="s">
        <v>603</v>
      </c>
      <c r="I264" s="36" t="s">
        <v>555</v>
      </c>
      <c r="J264" s="36" t="s">
        <v>578</v>
      </c>
      <c r="K264" s="36" t="s">
        <v>890</v>
      </c>
      <c r="L264" s="37">
        <v>70092.92</v>
      </c>
      <c r="M264" s="271">
        <v>70100</v>
      </c>
      <c r="N264" s="34" t="s">
        <v>899</v>
      </c>
      <c r="O264" s="34" t="s">
        <v>1198</v>
      </c>
      <c r="P264" s="272" t="s">
        <v>1216</v>
      </c>
    </row>
    <row r="265" spans="1:16" x14ac:dyDescent="0.25">
      <c r="A265" s="270" t="s">
        <v>411</v>
      </c>
      <c r="B265" s="31" t="s">
        <v>410</v>
      </c>
      <c r="C265" s="31" t="s">
        <v>418</v>
      </c>
      <c r="D265" s="31" t="s">
        <v>421</v>
      </c>
      <c r="E265" s="31" t="s">
        <v>901</v>
      </c>
      <c r="F265" s="31" t="s">
        <v>900</v>
      </c>
      <c r="G265" s="33" t="s">
        <v>583</v>
      </c>
      <c r="H265" s="33" t="s">
        <v>603</v>
      </c>
      <c r="I265" s="36" t="s">
        <v>555</v>
      </c>
      <c r="J265" s="36" t="s">
        <v>875</v>
      </c>
      <c r="K265" s="36" t="s">
        <v>895</v>
      </c>
      <c r="L265" s="37">
        <v>219115.27</v>
      </c>
      <c r="M265" s="271">
        <v>219120</v>
      </c>
      <c r="N265" s="34" t="s">
        <v>899</v>
      </c>
      <c r="O265" s="34" t="s">
        <v>1198</v>
      </c>
      <c r="P265" s="272" t="s">
        <v>1216</v>
      </c>
    </row>
    <row r="266" spans="1:16" x14ac:dyDescent="0.25">
      <c r="A266" s="270" t="s">
        <v>411</v>
      </c>
      <c r="B266" s="31" t="s">
        <v>410</v>
      </c>
      <c r="C266" s="31" t="s">
        <v>418</v>
      </c>
      <c r="D266" s="31" t="s">
        <v>424</v>
      </c>
      <c r="E266" s="31" t="s">
        <v>171</v>
      </c>
      <c r="F266" s="31" t="s">
        <v>425</v>
      </c>
      <c r="G266" s="33" t="s">
        <v>535</v>
      </c>
      <c r="H266" s="33" t="s">
        <v>603</v>
      </c>
      <c r="I266" s="36" t="s">
        <v>553</v>
      </c>
      <c r="J266" s="36" t="s">
        <v>889</v>
      </c>
      <c r="K266" s="36" t="s">
        <v>584</v>
      </c>
      <c r="L266" s="37">
        <v>60000</v>
      </c>
      <c r="M266" s="271">
        <v>60000</v>
      </c>
      <c r="N266" s="34"/>
      <c r="O266" s="34"/>
      <c r="P266" s="272" t="s">
        <v>849</v>
      </c>
    </row>
    <row r="267" spans="1:16" x14ac:dyDescent="0.25">
      <c r="A267" s="270" t="s">
        <v>411</v>
      </c>
      <c r="B267" s="31" t="s">
        <v>410</v>
      </c>
      <c r="C267" s="31" t="s">
        <v>418</v>
      </c>
      <c r="D267" s="31" t="s">
        <v>424</v>
      </c>
      <c r="E267" s="31" t="s">
        <v>173</v>
      </c>
      <c r="F267" s="31" t="s">
        <v>426</v>
      </c>
      <c r="G267" s="33" t="s">
        <v>535</v>
      </c>
      <c r="H267" s="33" t="s">
        <v>603</v>
      </c>
      <c r="I267" s="36" t="s">
        <v>553</v>
      </c>
      <c r="J267" s="36" t="s">
        <v>889</v>
      </c>
      <c r="K267" s="36" t="s">
        <v>584</v>
      </c>
      <c r="L267" s="37">
        <v>0</v>
      </c>
      <c r="M267" s="271">
        <v>0</v>
      </c>
      <c r="N267" s="34"/>
      <c r="O267" s="34"/>
      <c r="P267" s="272" t="s">
        <v>585</v>
      </c>
    </row>
    <row r="268" spans="1:16" x14ac:dyDescent="0.25">
      <c r="A268" s="270" t="s">
        <v>411</v>
      </c>
      <c r="B268" s="31" t="s">
        <v>410</v>
      </c>
      <c r="C268" s="31" t="s">
        <v>418</v>
      </c>
      <c r="D268" s="31" t="s">
        <v>424</v>
      </c>
      <c r="E268" s="31" t="s">
        <v>174</v>
      </c>
      <c r="F268" s="31" t="s">
        <v>427</v>
      </c>
      <c r="G268" s="33" t="s">
        <v>535</v>
      </c>
      <c r="H268" s="33" t="s">
        <v>603</v>
      </c>
      <c r="I268" s="36" t="s">
        <v>553</v>
      </c>
      <c r="J268" s="36" t="s">
        <v>889</v>
      </c>
      <c r="K268" s="36" t="s">
        <v>584</v>
      </c>
      <c r="L268" s="37">
        <v>0</v>
      </c>
      <c r="M268" s="271">
        <v>0</v>
      </c>
      <c r="N268" s="34"/>
      <c r="O268" s="34"/>
      <c r="P268" s="272" t="s">
        <v>585</v>
      </c>
    </row>
    <row r="269" spans="1:16" x14ac:dyDescent="0.25">
      <c r="A269" s="270" t="s">
        <v>411</v>
      </c>
      <c r="B269" s="31" t="s">
        <v>410</v>
      </c>
      <c r="C269" s="31" t="s">
        <v>418</v>
      </c>
      <c r="D269" s="31" t="s">
        <v>424</v>
      </c>
      <c r="E269" s="31" t="s">
        <v>175</v>
      </c>
      <c r="F269" s="31" t="s">
        <v>392</v>
      </c>
      <c r="G269" s="33" t="s">
        <v>520</v>
      </c>
      <c r="H269" s="33" t="s">
        <v>603</v>
      </c>
      <c r="I269" s="36" t="s">
        <v>553</v>
      </c>
      <c r="J269" s="36" t="s">
        <v>881</v>
      </c>
      <c r="K269" s="36" t="s">
        <v>903</v>
      </c>
      <c r="L269" s="37">
        <v>0</v>
      </c>
      <c r="M269" s="271">
        <v>0</v>
      </c>
      <c r="N269" s="34"/>
      <c r="O269" s="34"/>
      <c r="P269" s="272" t="s">
        <v>991</v>
      </c>
    </row>
    <row r="270" spans="1:16" x14ac:dyDescent="0.25">
      <c r="A270" s="270" t="s">
        <v>411</v>
      </c>
      <c r="B270" s="31" t="s">
        <v>410</v>
      </c>
      <c r="C270" s="31" t="s">
        <v>418</v>
      </c>
      <c r="D270" s="31" t="s">
        <v>424</v>
      </c>
      <c r="E270" s="31" t="s">
        <v>176</v>
      </c>
      <c r="F270" s="31" t="s">
        <v>401</v>
      </c>
      <c r="G270" s="33" t="s">
        <v>520</v>
      </c>
      <c r="H270" s="33" t="s">
        <v>603</v>
      </c>
      <c r="I270" s="36" t="s">
        <v>553</v>
      </c>
      <c r="J270" s="36" t="s">
        <v>881</v>
      </c>
      <c r="K270" s="36" t="s">
        <v>903</v>
      </c>
      <c r="L270" s="37">
        <v>3000000</v>
      </c>
      <c r="M270" s="271">
        <v>3000000</v>
      </c>
      <c r="N270" s="34"/>
      <c r="O270" s="34" t="s">
        <v>979</v>
      </c>
      <c r="P270" s="272" t="s">
        <v>988</v>
      </c>
    </row>
    <row r="271" spans="1:16" x14ac:dyDescent="0.25">
      <c r="A271" s="270" t="s">
        <v>411</v>
      </c>
      <c r="B271" s="31" t="s">
        <v>410</v>
      </c>
      <c r="C271" s="31" t="s">
        <v>418</v>
      </c>
      <c r="D271" s="31" t="s">
        <v>424</v>
      </c>
      <c r="E271" s="31" t="s">
        <v>177</v>
      </c>
      <c r="F271" s="31" t="s">
        <v>428</v>
      </c>
      <c r="G271" s="33" t="s">
        <v>535</v>
      </c>
      <c r="H271" s="33" t="s">
        <v>603</v>
      </c>
      <c r="I271" s="36" t="s">
        <v>553</v>
      </c>
      <c r="J271" s="36" t="s">
        <v>889</v>
      </c>
      <c r="K271" s="36" t="s">
        <v>584</v>
      </c>
      <c r="L271" s="37">
        <v>0</v>
      </c>
      <c r="M271" s="271">
        <v>0</v>
      </c>
      <c r="N271" s="34"/>
      <c r="O271" s="34"/>
      <c r="P271" s="272" t="s">
        <v>585</v>
      </c>
    </row>
    <row r="272" spans="1:16" x14ac:dyDescent="0.25">
      <c r="A272" s="270" t="s">
        <v>411</v>
      </c>
      <c r="B272" s="31" t="s">
        <v>410</v>
      </c>
      <c r="C272" s="31" t="s">
        <v>418</v>
      </c>
      <c r="D272" s="31" t="s">
        <v>424</v>
      </c>
      <c r="E272" s="31" t="s">
        <v>178</v>
      </c>
      <c r="F272" s="31" t="s">
        <v>429</v>
      </c>
      <c r="G272" s="33" t="s">
        <v>535</v>
      </c>
      <c r="H272" s="33" t="s">
        <v>603</v>
      </c>
      <c r="I272" s="36" t="s">
        <v>553</v>
      </c>
      <c r="J272" s="36" t="s">
        <v>889</v>
      </c>
      <c r="K272" s="36" t="s">
        <v>584</v>
      </c>
      <c r="L272" s="37">
        <v>0</v>
      </c>
      <c r="M272" s="271">
        <v>0</v>
      </c>
      <c r="N272" s="34"/>
      <c r="O272" s="34"/>
      <c r="P272" s="272" t="s">
        <v>585</v>
      </c>
    </row>
    <row r="273" spans="1:16" x14ac:dyDescent="0.25">
      <c r="A273" s="270" t="s">
        <v>411</v>
      </c>
      <c r="B273" s="31" t="s">
        <v>410</v>
      </c>
      <c r="C273" s="31" t="s">
        <v>418</v>
      </c>
      <c r="D273" s="31" t="s">
        <v>424</v>
      </c>
      <c r="E273" s="31" t="s">
        <v>179</v>
      </c>
      <c r="F273" s="31" t="s">
        <v>397</v>
      </c>
      <c r="G273" s="33" t="s">
        <v>535</v>
      </c>
      <c r="H273" s="33" t="s">
        <v>603</v>
      </c>
      <c r="I273" s="36" t="s">
        <v>553</v>
      </c>
      <c r="J273" s="36" t="s">
        <v>889</v>
      </c>
      <c r="K273" s="36" t="s">
        <v>584</v>
      </c>
      <c r="L273" s="37">
        <v>45000</v>
      </c>
      <c r="M273" s="271">
        <v>45000</v>
      </c>
      <c r="N273" s="34"/>
      <c r="O273" s="34"/>
      <c r="P273" s="272" t="s">
        <v>541</v>
      </c>
    </row>
    <row r="274" spans="1:16" x14ac:dyDescent="0.25">
      <c r="A274" s="270" t="s">
        <v>411</v>
      </c>
      <c r="B274" s="31" t="s">
        <v>410</v>
      </c>
      <c r="C274" s="31" t="s">
        <v>418</v>
      </c>
      <c r="D274" s="31" t="s">
        <v>430</v>
      </c>
      <c r="E274" s="31" t="s">
        <v>182</v>
      </c>
      <c r="F274" s="31" t="s">
        <v>431</v>
      </c>
      <c r="G274" s="33" t="s">
        <v>547</v>
      </c>
      <c r="H274" s="33" t="s">
        <v>603</v>
      </c>
      <c r="I274" s="36" t="s">
        <v>553</v>
      </c>
      <c r="J274" s="36" t="s">
        <v>889</v>
      </c>
      <c r="K274" s="36" t="s">
        <v>584</v>
      </c>
      <c r="L274" s="37">
        <v>23500</v>
      </c>
      <c r="M274" s="271">
        <v>24000</v>
      </c>
      <c r="N274" s="34"/>
      <c r="O274" s="34"/>
      <c r="P274" s="272" t="s">
        <v>548</v>
      </c>
    </row>
    <row r="275" spans="1:16" x14ac:dyDescent="0.25">
      <c r="A275" s="270" t="s">
        <v>411</v>
      </c>
      <c r="B275" s="31" t="s">
        <v>410</v>
      </c>
      <c r="C275" s="31" t="s">
        <v>418</v>
      </c>
      <c r="D275" s="31" t="s">
        <v>599</v>
      </c>
      <c r="E275" s="31" t="s">
        <v>185</v>
      </c>
      <c r="F275" s="31" t="s">
        <v>432</v>
      </c>
      <c r="G275" s="33" t="s">
        <v>1117</v>
      </c>
      <c r="H275" s="33" t="s">
        <v>603</v>
      </c>
      <c r="I275" s="36" t="s">
        <v>555</v>
      </c>
      <c r="J275" s="36" t="s">
        <v>578</v>
      </c>
      <c r="K275" s="36" t="s">
        <v>1118</v>
      </c>
      <c r="L275" s="37">
        <v>0</v>
      </c>
      <c r="M275" s="271">
        <v>20000</v>
      </c>
      <c r="N275" s="34"/>
      <c r="O275" s="34" t="s">
        <v>1119</v>
      </c>
      <c r="P275" s="272" t="s">
        <v>1120</v>
      </c>
    </row>
    <row r="276" spans="1:16" x14ac:dyDescent="0.25">
      <c r="A276" s="270" t="s">
        <v>411</v>
      </c>
      <c r="B276" s="31" t="s">
        <v>410</v>
      </c>
      <c r="C276" s="31" t="s">
        <v>418</v>
      </c>
      <c r="D276" s="31" t="s">
        <v>599</v>
      </c>
      <c r="E276" s="31" t="s">
        <v>186</v>
      </c>
      <c r="F276" s="274" t="s">
        <v>880</v>
      </c>
      <c r="G276" s="33" t="s">
        <v>1136</v>
      </c>
      <c r="H276" s="33" t="s">
        <v>603</v>
      </c>
      <c r="I276" s="36" t="s">
        <v>552</v>
      </c>
      <c r="J276" s="36" t="s">
        <v>580</v>
      </c>
      <c r="K276" s="36" t="s">
        <v>503</v>
      </c>
      <c r="L276" s="37">
        <v>51030</v>
      </c>
      <c r="M276" s="271">
        <v>51100</v>
      </c>
      <c r="N276" s="34"/>
      <c r="O276" s="34" t="s">
        <v>503</v>
      </c>
      <c r="P276" s="272" t="s">
        <v>1135</v>
      </c>
    </row>
    <row r="277" spans="1:16" x14ac:dyDescent="0.25">
      <c r="A277" s="270" t="s">
        <v>411</v>
      </c>
      <c r="B277" s="31" t="s">
        <v>410</v>
      </c>
      <c r="C277" s="31" t="s">
        <v>418</v>
      </c>
      <c r="D277" s="31" t="s">
        <v>599</v>
      </c>
      <c r="E277" s="31" t="s">
        <v>186</v>
      </c>
      <c r="F277" s="274" t="s">
        <v>880</v>
      </c>
      <c r="G277" s="33" t="s">
        <v>1130</v>
      </c>
      <c r="H277" s="33" t="s">
        <v>603</v>
      </c>
      <c r="I277" s="36" t="s">
        <v>552</v>
      </c>
      <c r="J277" s="36" t="s">
        <v>580</v>
      </c>
      <c r="K277" s="36" t="s">
        <v>504</v>
      </c>
      <c r="L277" s="37">
        <v>38272.5</v>
      </c>
      <c r="M277" s="271">
        <v>38300</v>
      </c>
      <c r="N277" s="34"/>
      <c r="O277" s="34" t="s">
        <v>504</v>
      </c>
      <c r="P277" s="272" t="s">
        <v>1131</v>
      </c>
    </row>
    <row r="278" spans="1:16" x14ac:dyDescent="0.25">
      <c r="A278" s="270" t="s">
        <v>411</v>
      </c>
      <c r="B278" s="31" t="s">
        <v>410</v>
      </c>
      <c r="C278" s="31" t="s">
        <v>418</v>
      </c>
      <c r="D278" s="31" t="s">
        <v>599</v>
      </c>
      <c r="E278" s="31" t="s">
        <v>186</v>
      </c>
      <c r="F278" s="274" t="s">
        <v>880</v>
      </c>
      <c r="G278" s="33" t="s">
        <v>1124</v>
      </c>
      <c r="H278" s="33" t="s">
        <v>603</v>
      </c>
      <c r="I278" s="36" t="s">
        <v>552</v>
      </c>
      <c r="J278" s="36" t="s">
        <v>580</v>
      </c>
      <c r="K278" s="36" t="s">
        <v>505</v>
      </c>
      <c r="L278" s="37">
        <v>38272.5</v>
      </c>
      <c r="M278" s="271">
        <v>38300</v>
      </c>
      <c r="N278" s="34"/>
      <c r="O278" s="34" t="s">
        <v>505</v>
      </c>
      <c r="P278" s="272" t="s">
        <v>1121</v>
      </c>
    </row>
    <row r="279" spans="1:16" x14ac:dyDescent="0.25">
      <c r="A279" s="270" t="s">
        <v>411</v>
      </c>
      <c r="B279" s="31" t="s">
        <v>410</v>
      </c>
      <c r="C279" s="31" t="s">
        <v>418</v>
      </c>
      <c r="D279" s="31" t="s">
        <v>599</v>
      </c>
      <c r="E279" s="31" t="s">
        <v>186</v>
      </c>
      <c r="F279" s="274" t="s">
        <v>880</v>
      </c>
      <c r="G279" s="33" t="s">
        <v>1137</v>
      </c>
      <c r="H279" s="33" t="s">
        <v>603</v>
      </c>
      <c r="I279" s="36" t="s">
        <v>552</v>
      </c>
      <c r="J279" s="36" t="s">
        <v>580</v>
      </c>
      <c r="K279" s="36" t="s">
        <v>506</v>
      </c>
      <c r="L279" s="37">
        <v>51030</v>
      </c>
      <c r="M279" s="271">
        <v>51100</v>
      </c>
      <c r="N279" s="34"/>
      <c r="O279" s="34" t="s">
        <v>506</v>
      </c>
      <c r="P279" s="272" t="s">
        <v>1134</v>
      </c>
    </row>
    <row r="280" spans="1:16" x14ac:dyDescent="0.25">
      <c r="A280" s="270" t="s">
        <v>411</v>
      </c>
      <c r="B280" s="31" t="s">
        <v>410</v>
      </c>
      <c r="C280" s="31" t="s">
        <v>418</v>
      </c>
      <c r="D280" s="31" t="s">
        <v>599</v>
      </c>
      <c r="E280" s="31" t="s">
        <v>186</v>
      </c>
      <c r="F280" s="274" t="s">
        <v>880</v>
      </c>
      <c r="G280" s="33" t="s">
        <v>1140</v>
      </c>
      <c r="H280" s="33" t="s">
        <v>603</v>
      </c>
      <c r="I280" s="36" t="s">
        <v>552</v>
      </c>
      <c r="J280" s="36" t="s">
        <v>580</v>
      </c>
      <c r="K280" s="36" t="s">
        <v>507</v>
      </c>
      <c r="L280" s="37">
        <v>51030</v>
      </c>
      <c r="M280" s="271">
        <v>51100</v>
      </c>
      <c r="N280" s="34"/>
      <c r="O280" s="34" t="s">
        <v>507</v>
      </c>
      <c r="P280" s="272" t="s">
        <v>1138</v>
      </c>
    </row>
    <row r="281" spans="1:16" x14ac:dyDescent="0.25">
      <c r="A281" s="270" t="s">
        <v>411</v>
      </c>
      <c r="B281" s="31" t="s">
        <v>410</v>
      </c>
      <c r="C281" s="31" t="s">
        <v>418</v>
      </c>
      <c r="D281" s="31" t="s">
        <v>599</v>
      </c>
      <c r="E281" s="31" t="s">
        <v>186</v>
      </c>
      <c r="F281" s="274" t="s">
        <v>880</v>
      </c>
      <c r="G281" s="33" t="s">
        <v>1154</v>
      </c>
      <c r="H281" s="33" t="s">
        <v>603</v>
      </c>
      <c r="I281" s="36" t="s">
        <v>552</v>
      </c>
      <c r="J281" s="36" t="s">
        <v>580</v>
      </c>
      <c r="K281" s="36" t="s">
        <v>502</v>
      </c>
      <c r="L281" s="37">
        <v>630220.5</v>
      </c>
      <c r="M281" s="271">
        <v>630500</v>
      </c>
      <c r="N281" s="34"/>
      <c r="O281" s="34" t="s">
        <v>502</v>
      </c>
      <c r="P281" s="272" t="s">
        <v>1157</v>
      </c>
    </row>
    <row r="282" spans="1:16" x14ac:dyDescent="0.25">
      <c r="A282" s="270" t="s">
        <v>411</v>
      </c>
      <c r="B282" s="31" t="s">
        <v>410</v>
      </c>
      <c r="C282" s="31" t="s">
        <v>418</v>
      </c>
      <c r="D282" s="31" t="s">
        <v>599</v>
      </c>
      <c r="E282" s="31" t="s">
        <v>186</v>
      </c>
      <c r="F282" s="274" t="s">
        <v>880</v>
      </c>
      <c r="G282" s="33" t="s">
        <v>1158</v>
      </c>
      <c r="H282" s="33" t="s">
        <v>603</v>
      </c>
      <c r="I282" s="36" t="s">
        <v>555</v>
      </c>
      <c r="J282" s="36" t="s">
        <v>577</v>
      </c>
      <c r="K282" s="36" t="s">
        <v>532</v>
      </c>
      <c r="L282" s="37">
        <v>130977</v>
      </c>
      <c r="M282" s="271">
        <v>131000</v>
      </c>
      <c r="N282" s="34"/>
      <c r="O282" s="34" t="s">
        <v>532</v>
      </c>
      <c r="P282" s="272" t="s">
        <v>1159</v>
      </c>
    </row>
    <row r="283" spans="1:16" x14ac:dyDescent="0.25">
      <c r="A283" s="270" t="s">
        <v>411</v>
      </c>
      <c r="B283" s="31" t="s">
        <v>410</v>
      </c>
      <c r="C283" s="31" t="s">
        <v>418</v>
      </c>
      <c r="D283" s="31" t="s">
        <v>599</v>
      </c>
      <c r="E283" s="31" t="s">
        <v>186</v>
      </c>
      <c r="F283" s="274" t="s">
        <v>880</v>
      </c>
      <c r="G283" s="33" t="s">
        <v>1146</v>
      </c>
      <c r="H283" s="33" t="s">
        <v>603</v>
      </c>
      <c r="I283" s="36" t="s">
        <v>555</v>
      </c>
      <c r="J283" s="36" t="s">
        <v>577</v>
      </c>
      <c r="K283" s="36" t="s">
        <v>501</v>
      </c>
      <c r="L283" s="37">
        <v>170100</v>
      </c>
      <c r="M283" s="271">
        <v>170500</v>
      </c>
      <c r="N283" s="34"/>
      <c r="O283" s="34" t="s">
        <v>501</v>
      </c>
      <c r="P283" s="272" t="s">
        <v>1141</v>
      </c>
    </row>
    <row r="284" spans="1:16" x14ac:dyDescent="0.25">
      <c r="A284" s="270" t="s">
        <v>411</v>
      </c>
      <c r="B284" s="31" t="s">
        <v>410</v>
      </c>
      <c r="C284" s="31" t="s">
        <v>418</v>
      </c>
      <c r="D284" s="31" t="s">
        <v>599</v>
      </c>
      <c r="E284" s="31" t="s">
        <v>186</v>
      </c>
      <c r="F284" s="274" t="s">
        <v>880</v>
      </c>
      <c r="G284" s="33" t="s">
        <v>1143</v>
      </c>
      <c r="H284" s="33" t="s">
        <v>603</v>
      </c>
      <c r="I284" s="36" t="s">
        <v>555</v>
      </c>
      <c r="J284" s="36" t="s">
        <v>875</v>
      </c>
      <c r="K284" s="36" t="s">
        <v>508</v>
      </c>
      <c r="L284" s="37">
        <v>51030</v>
      </c>
      <c r="M284" s="271">
        <v>51100</v>
      </c>
      <c r="N284" s="34"/>
      <c r="O284" s="34" t="s">
        <v>508</v>
      </c>
      <c r="P284" s="272" t="s">
        <v>1144</v>
      </c>
    </row>
    <row r="285" spans="1:16" x14ac:dyDescent="0.25">
      <c r="A285" s="270" t="s">
        <v>411</v>
      </c>
      <c r="B285" s="31" t="s">
        <v>410</v>
      </c>
      <c r="C285" s="31" t="s">
        <v>418</v>
      </c>
      <c r="D285" s="31" t="s">
        <v>433</v>
      </c>
      <c r="E285" s="31" t="s">
        <v>189</v>
      </c>
      <c r="F285" s="274" t="s">
        <v>379</v>
      </c>
      <c r="G285" s="33" t="s">
        <v>597</v>
      </c>
      <c r="H285" s="33" t="s">
        <v>603</v>
      </c>
      <c r="I285" s="36" t="s">
        <v>552</v>
      </c>
      <c r="J285" s="36" t="s">
        <v>591</v>
      </c>
      <c r="K285" s="36" t="s">
        <v>1015</v>
      </c>
      <c r="L285" s="37">
        <v>30274.65</v>
      </c>
      <c r="M285" s="271">
        <v>30500</v>
      </c>
      <c r="N285" s="34"/>
      <c r="O285" s="34"/>
      <c r="P285" s="272" t="s">
        <v>1033</v>
      </c>
    </row>
    <row r="286" spans="1:16" x14ac:dyDescent="0.25">
      <c r="A286" s="270" t="s">
        <v>411</v>
      </c>
      <c r="B286" s="31" t="s">
        <v>410</v>
      </c>
      <c r="C286" s="31" t="s">
        <v>418</v>
      </c>
      <c r="D286" s="31" t="s">
        <v>433</v>
      </c>
      <c r="E286" s="31" t="s">
        <v>189</v>
      </c>
      <c r="F286" s="274" t="s">
        <v>379</v>
      </c>
      <c r="G286" s="33" t="s">
        <v>929</v>
      </c>
      <c r="H286" s="33" t="s">
        <v>602</v>
      </c>
      <c r="I286" s="36" t="s">
        <v>552</v>
      </c>
      <c r="J286" s="36" t="s">
        <v>591</v>
      </c>
      <c r="K286" s="36" t="s">
        <v>1015</v>
      </c>
      <c r="L286" s="37">
        <f>20183.1*2</f>
        <v>40366.199999999997</v>
      </c>
      <c r="M286" s="271">
        <v>45000</v>
      </c>
      <c r="N286" s="34" t="s">
        <v>929</v>
      </c>
      <c r="O286" s="34" t="s">
        <v>1004</v>
      </c>
      <c r="P286" s="272" t="s">
        <v>1000</v>
      </c>
    </row>
    <row r="287" spans="1:16" x14ac:dyDescent="0.25">
      <c r="A287" s="270" t="s">
        <v>411</v>
      </c>
      <c r="B287" s="31" t="s">
        <v>410</v>
      </c>
      <c r="C287" s="31" t="s">
        <v>418</v>
      </c>
      <c r="D287" s="31" t="s">
        <v>433</v>
      </c>
      <c r="E287" s="31" t="s">
        <v>189</v>
      </c>
      <c r="F287" s="274" t="s">
        <v>379</v>
      </c>
      <c r="G287" s="33" t="s">
        <v>929</v>
      </c>
      <c r="H287" s="33" t="s">
        <v>602</v>
      </c>
      <c r="I287" s="36" t="s">
        <v>552</v>
      </c>
      <c r="J287" s="36" t="s">
        <v>1221</v>
      </c>
      <c r="K287" s="36" t="s">
        <v>1220</v>
      </c>
      <c r="L287" s="37">
        <f>20183.1*4</f>
        <v>80732.399999999994</v>
      </c>
      <c r="M287" s="271">
        <v>95000</v>
      </c>
      <c r="N287" s="34" t="s">
        <v>929</v>
      </c>
      <c r="O287" s="34" t="s">
        <v>1003</v>
      </c>
      <c r="P287" s="272" t="s">
        <v>999</v>
      </c>
    </row>
    <row r="288" spans="1:16" x14ac:dyDescent="0.25">
      <c r="A288" s="270" t="s">
        <v>411</v>
      </c>
      <c r="B288" s="31" t="s">
        <v>410</v>
      </c>
      <c r="C288" s="31" t="s">
        <v>418</v>
      </c>
      <c r="D288" s="31" t="s">
        <v>433</v>
      </c>
      <c r="E288" s="31" t="s">
        <v>189</v>
      </c>
      <c r="F288" s="274" t="s">
        <v>379</v>
      </c>
      <c r="G288" s="33" t="s">
        <v>929</v>
      </c>
      <c r="H288" s="33" t="s">
        <v>602</v>
      </c>
      <c r="I288" s="36" t="s">
        <v>552</v>
      </c>
      <c r="J288" s="36" t="s">
        <v>591</v>
      </c>
      <c r="K288" s="36" t="s">
        <v>948</v>
      </c>
      <c r="L288" s="37">
        <v>14897.05</v>
      </c>
      <c r="M288" s="271">
        <v>15000</v>
      </c>
      <c r="N288" s="34" t="s">
        <v>929</v>
      </c>
      <c r="O288" s="34" t="s">
        <v>948</v>
      </c>
      <c r="P288" s="30" t="s">
        <v>951</v>
      </c>
    </row>
    <row r="289" spans="1:16" x14ac:dyDescent="0.25">
      <c r="A289" s="270" t="s">
        <v>411</v>
      </c>
      <c r="B289" s="31" t="s">
        <v>410</v>
      </c>
      <c r="C289" s="31" t="s">
        <v>418</v>
      </c>
      <c r="D289" s="31" t="s">
        <v>433</v>
      </c>
      <c r="E289" s="31" t="s">
        <v>189</v>
      </c>
      <c r="F289" s="274" t="s">
        <v>379</v>
      </c>
      <c r="G289" s="33" t="s">
        <v>929</v>
      </c>
      <c r="H289" s="33" t="s">
        <v>602</v>
      </c>
      <c r="I289" s="36" t="s">
        <v>552</v>
      </c>
      <c r="J289" s="36" t="s">
        <v>591</v>
      </c>
      <c r="K289" s="36" t="s">
        <v>572</v>
      </c>
      <c r="L289" s="37">
        <v>35320.43</v>
      </c>
      <c r="M289" s="271">
        <v>35500</v>
      </c>
      <c r="N289" s="34" t="s">
        <v>929</v>
      </c>
      <c r="O289" s="34" t="s">
        <v>572</v>
      </c>
      <c r="P289" s="272" t="s">
        <v>952</v>
      </c>
    </row>
    <row r="290" spans="1:16" x14ac:dyDescent="0.25">
      <c r="A290" s="270" t="s">
        <v>411</v>
      </c>
      <c r="B290" s="31" t="s">
        <v>410</v>
      </c>
      <c r="C290" s="31" t="s">
        <v>418</v>
      </c>
      <c r="D290" s="31" t="s">
        <v>433</v>
      </c>
      <c r="E290" s="31" t="s">
        <v>189</v>
      </c>
      <c r="F290" s="274" t="s">
        <v>379</v>
      </c>
      <c r="G290" s="33" t="s">
        <v>506</v>
      </c>
      <c r="H290" s="33" t="s">
        <v>603</v>
      </c>
      <c r="I290" s="36" t="s">
        <v>552</v>
      </c>
      <c r="J290" s="36" t="s">
        <v>580</v>
      </c>
      <c r="K290" s="36" t="s">
        <v>1056</v>
      </c>
      <c r="L290" s="37">
        <v>43430.05</v>
      </c>
      <c r="M290" s="271">
        <v>43500</v>
      </c>
      <c r="N290" s="34"/>
      <c r="O290" s="34" t="s">
        <v>1057</v>
      </c>
      <c r="P290" s="272" t="s">
        <v>1128</v>
      </c>
    </row>
    <row r="291" spans="1:16" x14ac:dyDescent="0.25">
      <c r="A291" s="270" t="s">
        <v>411</v>
      </c>
      <c r="B291" s="31" t="s">
        <v>410</v>
      </c>
      <c r="C291" s="31" t="s">
        <v>418</v>
      </c>
      <c r="D291" s="31" t="s">
        <v>433</v>
      </c>
      <c r="E291" s="31" t="s">
        <v>189</v>
      </c>
      <c r="F291" s="274" t="s">
        <v>379</v>
      </c>
      <c r="G291" s="33" t="s">
        <v>505</v>
      </c>
      <c r="H291" s="33" t="s">
        <v>603</v>
      </c>
      <c r="I291" s="36" t="s">
        <v>552</v>
      </c>
      <c r="J291" s="36" t="s">
        <v>580</v>
      </c>
      <c r="K291" s="36" t="s">
        <v>1056</v>
      </c>
      <c r="L291" s="37">
        <v>0</v>
      </c>
      <c r="M291" s="271">
        <v>0</v>
      </c>
      <c r="N291" s="34"/>
      <c r="O291" s="34" t="s">
        <v>1058</v>
      </c>
      <c r="P291" s="272" t="s">
        <v>1127</v>
      </c>
    </row>
    <row r="292" spans="1:16" x14ac:dyDescent="0.25">
      <c r="A292" s="270" t="s">
        <v>411</v>
      </c>
      <c r="B292" s="31" t="s">
        <v>410</v>
      </c>
      <c r="C292" s="31" t="s">
        <v>418</v>
      </c>
      <c r="D292" s="31" t="s">
        <v>433</v>
      </c>
      <c r="E292" s="31" t="s">
        <v>189</v>
      </c>
      <c r="F292" s="274" t="s">
        <v>379</v>
      </c>
      <c r="G292" s="33" t="s">
        <v>507</v>
      </c>
      <c r="H292" s="33" t="s">
        <v>603</v>
      </c>
      <c r="I292" s="36" t="s">
        <v>552</v>
      </c>
      <c r="J292" s="36" t="s">
        <v>580</v>
      </c>
      <c r="K292" s="36" t="s">
        <v>1056</v>
      </c>
      <c r="L292" s="37">
        <v>67268.25</v>
      </c>
      <c r="M292" s="271">
        <v>67300</v>
      </c>
      <c r="N292" s="34"/>
      <c r="O292" s="34" t="s">
        <v>1055</v>
      </c>
      <c r="P292" s="272" t="s">
        <v>1054</v>
      </c>
    </row>
    <row r="293" spans="1:16" x14ac:dyDescent="0.25">
      <c r="A293" s="270" t="s">
        <v>411</v>
      </c>
      <c r="B293" s="31" t="s">
        <v>410</v>
      </c>
      <c r="C293" s="31" t="s">
        <v>418</v>
      </c>
      <c r="D293" s="31" t="s">
        <v>433</v>
      </c>
      <c r="E293" s="31" t="s">
        <v>189</v>
      </c>
      <c r="F293" s="274" t="s">
        <v>379</v>
      </c>
      <c r="G293" s="33" t="s">
        <v>1136</v>
      </c>
      <c r="H293" s="33" t="s">
        <v>603</v>
      </c>
      <c r="I293" s="36" t="s">
        <v>552</v>
      </c>
      <c r="J293" s="36" t="s">
        <v>580</v>
      </c>
      <c r="K293" s="36" t="s">
        <v>503</v>
      </c>
      <c r="L293" s="37">
        <v>2162.48</v>
      </c>
      <c r="M293" s="271">
        <v>2200</v>
      </c>
      <c r="N293" s="34"/>
      <c r="O293" s="34" t="s">
        <v>503</v>
      </c>
      <c r="P293" s="272" t="s">
        <v>1132</v>
      </c>
    </row>
    <row r="294" spans="1:16" x14ac:dyDescent="0.25">
      <c r="A294" s="270" t="s">
        <v>411</v>
      </c>
      <c r="B294" s="31" t="s">
        <v>410</v>
      </c>
      <c r="C294" s="31" t="s">
        <v>418</v>
      </c>
      <c r="D294" s="31" t="s">
        <v>433</v>
      </c>
      <c r="E294" s="31" t="s">
        <v>189</v>
      </c>
      <c r="F294" s="274" t="s">
        <v>379</v>
      </c>
      <c r="G294" s="33" t="s">
        <v>1130</v>
      </c>
      <c r="H294" s="33" t="s">
        <v>603</v>
      </c>
      <c r="I294" s="36" t="s">
        <v>552</v>
      </c>
      <c r="J294" s="36" t="s">
        <v>580</v>
      </c>
      <c r="K294" s="36" t="s">
        <v>504</v>
      </c>
      <c r="L294" s="37">
        <v>2162.48</v>
      </c>
      <c r="M294" s="271">
        <v>2200</v>
      </c>
      <c r="N294" s="34"/>
      <c r="O294" s="34" t="s">
        <v>504</v>
      </c>
      <c r="P294" s="272" t="s">
        <v>1129</v>
      </c>
    </row>
    <row r="295" spans="1:16" x14ac:dyDescent="0.25">
      <c r="A295" s="270" t="s">
        <v>411</v>
      </c>
      <c r="B295" s="31" t="s">
        <v>410</v>
      </c>
      <c r="C295" s="31" t="s">
        <v>418</v>
      </c>
      <c r="D295" s="31" t="s">
        <v>433</v>
      </c>
      <c r="E295" s="31" t="s">
        <v>189</v>
      </c>
      <c r="F295" s="274" t="s">
        <v>379</v>
      </c>
      <c r="G295" s="33" t="s">
        <v>1124</v>
      </c>
      <c r="H295" s="33" t="s">
        <v>603</v>
      </c>
      <c r="I295" s="36" t="s">
        <v>552</v>
      </c>
      <c r="J295" s="36" t="s">
        <v>580</v>
      </c>
      <c r="K295" s="36" t="s">
        <v>505</v>
      </c>
      <c r="L295" s="37">
        <v>2162.48</v>
      </c>
      <c r="M295" s="271">
        <v>2200</v>
      </c>
      <c r="N295" s="34"/>
      <c r="O295" s="34" t="s">
        <v>505</v>
      </c>
      <c r="P295" s="272" t="s">
        <v>1122</v>
      </c>
    </row>
    <row r="296" spans="1:16" x14ac:dyDescent="0.25">
      <c r="A296" s="270" t="s">
        <v>411</v>
      </c>
      <c r="B296" s="31" t="s">
        <v>410</v>
      </c>
      <c r="C296" s="31" t="s">
        <v>418</v>
      </c>
      <c r="D296" s="31" t="s">
        <v>433</v>
      </c>
      <c r="E296" s="31" t="s">
        <v>189</v>
      </c>
      <c r="F296" s="274" t="s">
        <v>379</v>
      </c>
      <c r="G296" s="33" t="s">
        <v>1137</v>
      </c>
      <c r="H296" s="33" t="s">
        <v>603</v>
      </c>
      <c r="I296" s="36" t="s">
        <v>552</v>
      </c>
      <c r="J296" s="36" t="s">
        <v>580</v>
      </c>
      <c r="K296" s="36" t="s">
        <v>506</v>
      </c>
      <c r="L296" s="37">
        <v>2162.48</v>
      </c>
      <c r="M296" s="271">
        <v>2200</v>
      </c>
      <c r="N296" s="34"/>
      <c r="O296" s="34" t="s">
        <v>506</v>
      </c>
      <c r="P296" s="272" t="s">
        <v>1133</v>
      </c>
    </row>
    <row r="297" spans="1:16" x14ac:dyDescent="0.25">
      <c r="A297" s="270" t="s">
        <v>411</v>
      </c>
      <c r="B297" s="31" t="s">
        <v>410</v>
      </c>
      <c r="C297" s="31" t="s">
        <v>418</v>
      </c>
      <c r="D297" s="31" t="s">
        <v>433</v>
      </c>
      <c r="E297" s="31" t="s">
        <v>189</v>
      </c>
      <c r="F297" s="274" t="s">
        <v>379</v>
      </c>
      <c r="G297" s="33" t="s">
        <v>1140</v>
      </c>
      <c r="H297" s="33" t="s">
        <v>603</v>
      </c>
      <c r="I297" s="36" t="s">
        <v>552</v>
      </c>
      <c r="J297" s="36" t="s">
        <v>580</v>
      </c>
      <c r="K297" s="36" t="s">
        <v>507</v>
      </c>
      <c r="L297" s="37">
        <v>2162.48</v>
      </c>
      <c r="M297" s="271">
        <v>2200</v>
      </c>
      <c r="N297" s="34"/>
      <c r="O297" s="34" t="s">
        <v>507</v>
      </c>
      <c r="P297" s="272" t="s">
        <v>1139</v>
      </c>
    </row>
    <row r="298" spans="1:16" x14ac:dyDescent="0.25">
      <c r="A298" s="270" t="s">
        <v>411</v>
      </c>
      <c r="B298" s="31" t="s">
        <v>410</v>
      </c>
      <c r="C298" s="31" t="s">
        <v>418</v>
      </c>
      <c r="D298" s="31" t="s">
        <v>433</v>
      </c>
      <c r="E298" s="31" t="s">
        <v>189</v>
      </c>
      <c r="F298" s="274" t="s">
        <v>379</v>
      </c>
      <c r="G298" s="33" t="s">
        <v>512</v>
      </c>
      <c r="H298" s="33" t="s">
        <v>603</v>
      </c>
      <c r="I298" s="36" t="s">
        <v>552</v>
      </c>
      <c r="J298" s="36" t="s">
        <v>580</v>
      </c>
      <c r="K298" s="36" t="s">
        <v>606</v>
      </c>
      <c r="L298" s="37">
        <v>30034.38</v>
      </c>
      <c r="M298" s="271">
        <v>30050</v>
      </c>
      <c r="N298" s="34"/>
      <c r="O298" s="34"/>
      <c r="P298" s="272" t="s">
        <v>1022</v>
      </c>
    </row>
    <row r="299" spans="1:16" x14ac:dyDescent="0.25">
      <c r="A299" s="270" t="s">
        <v>411</v>
      </c>
      <c r="B299" s="31" t="s">
        <v>410</v>
      </c>
      <c r="C299" s="31" t="s">
        <v>418</v>
      </c>
      <c r="D299" s="31" t="s">
        <v>433</v>
      </c>
      <c r="E299" s="31" t="s">
        <v>189</v>
      </c>
      <c r="F299" s="274" t="s">
        <v>379</v>
      </c>
      <c r="G299" s="33" t="s">
        <v>1151</v>
      </c>
      <c r="H299" s="33" t="s">
        <v>603</v>
      </c>
      <c r="I299" s="36" t="s">
        <v>553</v>
      </c>
      <c r="J299" s="36" t="s">
        <v>581</v>
      </c>
      <c r="K299" s="36" t="s">
        <v>516</v>
      </c>
      <c r="L299" s="37">
        <v>14416.5</v>
      </c>
      <c r="M299" s="271">
        <v>14500</v>
      </c>
      <c r="N299" s="34"/>
      <c r="O299" s="34" t="s">
        <v>516</v>
      </c>
      <c r="P299" s="272" t="s">
        <v>1149</v>
      </c>
    </row>
    <row r="300" spans="1:16" x14ac:dyDescent="0.25">
      <c r="A300" s="270" t="s">
        <v>411</v>
      </c>
      <c r="B300" s="31" t="s">
        <v>410</v>
      </c>
      <c r="C300" s="31" t="s">
        <v>418</v>
      </c>
      <c r="D300" s="31" t="s">
        <v>433</v>
      </c>
      <c r="E300" s="31" t="s">
        <v>189</v>
      </c>
      <c r="F300" s="274" t="s">
        <v>379</v>
      </c>
      <c r="G300" s="33" t="s">
        <v>528</v>
      </c>
      <c r="H300" s="33" t="s">
        <v>603</v>
      </c>
      <c r="I300" s="36" t="s">
        <v>553</v>
      </c>
      <c r="J300" s="36" t="s">
        <v>581</v>
      </c>
      <c r="K300" s="36" t="s">
        <v>605</v>
      </c>
      <c r="L300" s="37">
        <v>55263.25</v>
      </c>
      <c r="M300" s="271">
        <v>55000</v>
      </c>
      <c r="N300" s="34"/>
      <c r="O300" s="34"/>
      <c r="P300" s="272" t="s">
        <v>1034</v>
      </c>
    </row>
    <row r="301" spans="1:16" x14ac:dyDescent="0.25">
      <c r="A301" s="270" t="s">
        <v>411</v>
      </c>
      <c r="B301" s="31" t="s">
        <v>410</v>
      </c>
      <c r="C301" s="31" t="s">
        <v>418</v>
      </c>
      <c r="D301" s="31" t="s">
        <v>433</v>
      </c>
      <c r="E301" s="31" t="s">
        <v>189</v>
      </c>
      <c r="F301" s="274" t="s">
        <v>379</v>
      </c>
      <c r="G301" s="33" t="s">
        <v>515</v>
      </c>
      <c r="H301" s="33" t="s">
        <v>603</v>
      </c>
      <c r="I301" s="36" t="s">
        <v>553</v>
      </c>
      <c r="J301" s="36" t="s">
        <v>581</v>
      </c>
      <c r="K301" s="36" t="s">
        <v>605</v>
      </c>
      <c r="L301" s="37">
        <v>66075.63</v>
      </c>
      <c r="M301" s="271">
        <v>66500</v>
      </c>
      <c r="N301" s="34"/>
      <c r="O301" s="34"/>
      <c r="P301" s="272" t="s">
        <v>1036</v>
      </c>
    </row>
    <row r="302" spans="1:16" x14ac:dyDescent="0.25">
      <c r="A302" s="270" t="s">
        <v>411</v>
      </c>
      <c r="B302" s="31" t="s">
        <v>410</v>
      </c>
      <c r="C302" s="31" t="s">
        <v>418</v>
      </c>
      <c r="D302" s="31" t="s">
        <v>433</v>
      </c>
      <c r="E302" s="31" t="s">
        <v>189</v>
      </c>
      <c r="F302" s="274" t="s">
        <v>379</v>
      </c>
      <c r="G302" s="33" t="s">
        <v>867</v>
      </c>
      <c r="H302" s="33" t="s">
        <v>603</v>
      </c>
      <c r="I302" s="36" t="s">
        <v>553</v>
      </c>
      <c r="J302" s="36" t="s">
        <v>581</v>
      </c>
      <c r="K302" s="36" t="s">
        <v>1038</v>
      </c>
      <c r="L302" s="37">
        <v>146327.48000000001</v>
      </c>
      <c r="M302" s="271">
        <v>146500</v>
      </c>
      <c r="N302" s="34"/>
      <c r="O302" s="34"/>
      <c r="P302" s="272" t="s">
        <v>1037</v>
      </c>
    </row>
    <row r="303" spans="1:16" x14ac:dyDescent="0.25">
      <c r="A303" s="270" t="s">
        <v>411</v>
      </c>
      <c r="B303" s="31" t="s">
        <v>410</v>
      </c>
      <c r="C303" s="31" t="s">
        <v>418</v>
      </c>
      <c r="D303" s="31" t="s">
        <v>433</v>
      </c>
      <c r="E303" s="31" t="s">
        <v>189</v>
      </c>
      <c r="F303" s="274" t="s">
        <v>379</v>
      </c>
      <c r="G303" s="33" t="s">
        <v>545</v>
      </c>
      <c r="H303" s="33" t="s">
        <v>603</v>
      </c>
      <c r="I303" s="36" t="s">
        <v>553</v>
      </c>
      <c r="J303" s="36" t="s">
        <v>582</v>
      </c>
      <c r="K303" s="36" t="s">
        <v>902</v>
      </c>
      <c r="L303" s="37">
        <v>30034.38</v>
      </c>
      <c r="M303" s="271">
        <v>30050</v>
      </c>
      <c r="N303" s="34"/>
      <c r="O303" s="34"/>
      <c r="P303" s="272" t="s">
        <v>1020</v>
      </c>
    </row>
    <row r="304" spans="1:16" x14ac:dyDescent="0.25">
      <c r="A304" s="270" t="s">
        <v>411</v>
      </c>
      <c r="B304" s="31" t="s">
        <v>410</v>
      </c>
      <c r="C304" s="31" t="s">
        <v>418</v>
      </c>
      <c r="D304" s="31" t="s">
        <v>433</v>
      </c>
      <c r="E304" s="31" t="s">
        <v>189</v>
      </c>
      <c r="F304" s="274" t="s">
        <v>379</v>
      </c>
      <c r="G304" s="33" t="s">
        <v>926</v>
      </c>
      <c r="H304" s="33" t="s">
        <v>603</v>
      </c>
      <c r="I304" s="36" t="s">
        <v>553</v>
      </c>
      <c r="J304" s="36" t="s">
        <v>582</v>
      </c>
      <c r="K304" s="36" t="s">
        <v>902</v>
      </c>
      <c r="L304" s="37">
        <v>21384.48</v>
      </c>
      <c r="M304" s="271">
        <v>21400</v>
      </c>
      <c r="N304" s="34"/>
      <c r="O304" s="34" t="s">
        <v>926</v>
      </c>
      <c r="P304" s="272" t="s">
        <v>1053</v>
      </c>
    </row>
    <row r="305" spans="1:16" x14ac:dyDescent="0.25">
      <c r="A305" s="270" t="s">
        <v>411</v>
      </c>
      <c r="B305" s="31" t="s">
        <v>410</v>
      </c>
      <c r="C305" s="31" t="s">
        <v>418</v>
      </c>
      <c r="D305" s="31" t="s">
        <v>433</v>
      </c>
      <c r="E305" s="31" t="s">
        <v>189</v>
      </c>
      <c r="F305" s="274" t="s">
        <v>379</v>
      </c>
      <c r="G305" s="33" t="s">
        <v>929</v>
      </c>
      <c r="H305" s="33" t="s">
        <v>602</v>
      </c>
      <c r="I305" s="36" t="s">
        <v>553</v>
      </c>
      <c r="J305" s="36" t="s">
        <v>582</v>
      </c>
      <c r="K305" s="36" t="s">
        <v>902</v>
      </c>
      <c r="L305" s="37">
        <v>43730.05</v>
      </c>
      <c r="M305" s="271">
        <v>44000</v>
      </c>
      <c r="N305" s="34" t="s">
        <v>929</v>
      </c>
      <c r="O305" s="34" t="s">
        <v>1005</v>
      </c>
      <c r="P305" s="272" t="s">
        <v>1011</v>
      </c>
    </row>
    <row r="306" spans="1:16" x14ac:dyDescent="0.25">
      <c r="A306" s="270" t="s">
        <v>411</v>
      </c>
      <c r="B306" s="31" t="s">
        <v>410</v>
      </c>
      <c r="C306" s="31" t="s">
        <v>418</v>
      </c>
      <c r="D306" s="31" t="s">
        <v>433</v>
      </c>
      <c r="E306" s="31" t="s">
        <v>189</v>
      </c>
      <c r="F306" s="274" t="s">
        <v>379</v>
      </c>
      <c r="G306" s="33" t="s">
        <v>929</v>
      </c>
      <c r="H306" s="33" t="s">
        <v>602</v>
      </c>
      <c r="I306" s="36" t="s">
        <v>553</v>
      </c>
      <c r="J306" s="36" t="s">
        <v>582</v>
      </c>
      <c r="K306" s="36" t="s">
        <v>1010</v>
      </c>
      <c r="L306" s="37">
        <v>56224.35</v>
      </c>
      <c r="M306" s="271">
        <v>56500</v>
      </c>
      <c r="N306" s="34" t="s">
        <v>929</v>
      </c>
      <c r="O306" s="34" t="s">
        <v>1010</v>
      </c>
      <c r="P306" s="272" t="s">
        <v>1014</v>
      </c>
    </row>
    <row r="307" spans="1:16" x14ac:dyDescent="0.25">
      <c r="A307" s="270" t="s">
        <v>411</v>
      </c>
      <c r="B307" s="31" t="s">
        <v>410</v>
      </c>
      <c r="C307" s="31" t="s">
        <v>418</v>
      </c>
      <c r="D307" s="31" t="s">
        <v>433</v>
      </c>
      <c r="E307" s="31" t="s">
        <v>189</v>
      </c>
      <c r="F307" s="274" t="s">
        <v>379</v>
      </c>
      <c r="G307" s="33" t="s">
        <v>929</v>
      </c>
      <c r="H307" s="33" t="s">
        <v>602</v>
      </c>
      <c r="I307" s="36" t="s">
        <v>553</v>
      </c>
      <c r="J307" s="36" t="s">
        <v>582</v>
      </c>
      <c r="K307" s="36" t="s">
        <v>574</v>
      </c>
      <c r="L307" s="37">
        <f>20183.1*3</f>
        <v>60549.299999999996</v>
      </c>
      <c r="M307" s="271">
        <v>70000</v>
      </c>
      <c r="N307" s="34" t="s">
        <v>929</v>
      </c>
      <c r="O307" s="34" t="s">
        <v>574</v>
      </c>
      <c r="P307" s="272" t="s">
        <v>997</v>
      </c>
    </row>
    <row r="308" spans="1:16" x14ac:dyDescent="0.25">
      <c r="A308" s="270" t="s">
        <v>411</v>
      </c>
      <c r="B308" s="31" t="s">
        <v>410</v>
      </c>
      <c r="C308" s="31" t="s">
        <v>418</v>
      </c>
      <c r="D308" s="31" t="s">
        <v>433</v>
      </c>
      <c r="E308" s="31" t="s">
        <v>189</v>
      </c>
      <c r="F308" s="274" t="s">
        <v>379</v>
      </c>
      <c r="G308" s="33" t="s">
        <v>520</v>
      </c>
      <c r="H308" s="33" t="s">
        <v>603</v>
      </c>
      <c r="I308" s="36" t="s">
        <v>553</v>
      </c>
      <c r="J308" s="36" t="s">
        <v>881</v>
      </c>
      <c r="K308" s="36" t="s">
        <v>903</v>
      </c>
      <c r="L308" s="37">
        <v>30034.38</v>
      </c>
      <c r="M308" s="271">
        <v>30500</v>
      </c>
      <c r="N308" s="34"/>
      <c r="O308" s="34"/>
      <c r="P308" s="272" t="s">
        <v>1043</v>
      </c>
    </row>
    <row r="309" spans="1:16" x14ac:dyDescent="0.25">
      <c r="A309" s="270" t="s">
        <v>411</v>
      </c>
      <c r="B309" s="31" t="s">
        <v>410</v>
      </c>
      <c r="C309" s="31" t="s">
        <v>418</v>
      </c>
      <c r="D309" s="31" t="s">
        <v>433</v>
      </c>
      <c r="E309" s="31" t="s">
        <v>189</v>
      </c>
      <c r="F309" s="274" t="s">
        <v>379</v>
      </c>
      <c r="G309" s="33" t="s">
        <v>489</v>
      </c>
      <c r="H309" s="33" t="s">
        <v>603</v>
      </c>
      <c r="I309" s="36" t="s">
        <v>555</v>
      </c>
      <c r="J309" s="36" t="s">
        <v>579</v>
      </c>
      <c r="K309" s="36" t="s">
        <v>587</v>
      </c>
      <c r="L309" s="37">
        <v>145126.1</v>
      </c>
      <c r="M309" s="271">
        <v>146000</v>
      </c>
      <c r="N309" s="34"/>
      <c r="O309" s="34"/>
      <c r="P309" s="272" t="s">
        <v>958</v>
      </c>
    </row>
    <row r="310" spans="1:16" x14ac:dyDescent="0.25">
      <c r="A310" s="270" t="s">
        <v>411</v>
      </c>
      <c r="B310" s="31" t="s">
        <v>410</v>
      </c>
      <c r="C310" s="31" t="s">
        <v>418</v>
      </c>
      <c r="D310" s="31" t="s">
        <v>433</v>
      </c>
      <c r="E310" s="31" t="s">
        <v>189</v>
      </c>
      <c r="F310" s="274" t="s">
        <v>379</v>
      </c>
      <c r="G310" s="33" t="s">
        <v>499</v>
      </c>
      <c r="H310" s="33" t="s">
        <v>603</v>
      </c>
      <c r="I310" s="36" t="s">
        <v>555</v>
      </c>
      <c r="J310" s="36" t="s">
        <v>579</v>
      </c>
      <c r="K310" s="36" t="s">
        <v>587</v>
      </c>
      <c r="L310" s="37">
        <v>6006.88</v>
      </c>
      <c r="M310" s="271">
        <v>6500</v>
      </c>
      <c r="N310" s="34"/>
      <c r="O310" s="34"/>
      <c r="P310" s="272" t="s">
        <v>963</v>
      </c>
    </row>
    <row r="311" spans="1:16" x14ac:dyDescent="0.25">
      <c r="A311" s="270" t="s">
        <v>411</v>
      </c>
      <c r="B311" s="31" t="s">
        <v>410</v>
      </c>
      <c r="C311" s="31" t="s">
        <v>418</v>
      </c>
      <c r="D311" s="31" t="s">
        <v>433</v>
      </c>
      <c r="E311" s="31" t="s">
        <v>189</v>
      </c>
      <c r="F311" s="274" t="s">
        <v>379</v>
      </c>
      <c r="G311" s="33" t="s">
        <v>498</v>
      </c>
      <c r="H311" s="33" t="s">
        <v>603</v>
      </c>
      <c r="I311" s="36" t="s">
        <v>555</v>
      </c>
      <c r="J311" s="36" t="s">
        <v>579</v>
      </c>
      <c r="K311" s="36" t="s">
        <v>587</v>
      </c>
      <c r="L311" s="37">
        <v>10091.549999999999</v>
      </c>
      <c r="M311" s="271">
        <v>10500</v>
      </c>
      <c r="N311" s="34"/>
      <c r="O311" s="34"/>
      <c r="P311" s="275" t="s">
        <v>1001</v>
      </c>
    </row>
    <row r="312" spans="1:16" x14ac:dyDescent="0.25">
      <c r="A312" s="270" t="s">
        <v>411</v>
      </c>
      <c r="B312" s="31" t="s">
        <v>410</v>
      </c>
      <c r="C312" s="31" t="s">
        <v>418</v>
      </c>
      <c r="D312" s="31" t="s">
        <v>433</v>
      </c>
      <c r="E312" s="31" t="s">
        <v>189</v>
      </c>
      <c r="F312" s="274" t="s">
        <v>379</v>
      </c>
      <c r="G312" s="33" t="s">
        <v>494</v>
      </c>
      <c r="H312" s="33" t="s">
        <v>603</v>
      </c>
      <c r="I312" s="36" t="s">
        <v>555</v>
      </c>
      <c r="J312" s="36" t="s">
        <v>579</v>
      </c>
      <c r="K312" s="36" t="s">
        <v>587</v>
      </c>
      <c r="L312" s="37">
        <v>10091.549999999999</v>
      </c>
      <c r="M312" s="271">
        <v>10200</v>
      </c>
      <c r="N312" s="34"/>
      <c r="O312" s="34"/>
      <c r="P312" s="272" t="s">
        <v>495</v>
      </c>
    </row>
    <row r="313" spans="1:16" x14ac:dyDescent="0.25">
      <c r="A313" s="270" t="s">
        <v>411</v>
      </c>
      <c r="B313" s="31" t="s">
        <v>410</v>
      </c>
      <c r="C313" s="31" t="s">
        <v>418</v>
      </c>
      <c r="D313" s="31" t="s">
        <v>433</v>
      </c>
      <c r="E313" s="31" t="s">
        <v>189</v>
      </c>
      <c r="F313" s="274" t="s">
        <v>379</v>
      </c>
      <c r="G313" s="33" t="s">
        <v>961</v>
      </c>
      <c r="H313" s="33" t="s">
        <v>603</v>
      </c>
      <c r="I313" s="36" t="s">
        <v>555</v>
      </c>
      <c r="J313" s="36" t="s">
        <v>579</v>
      </c>
      <c r="K313" s="36" t="s">
        <v>587</v>
      </c>
      <c r="L313" s="37">
        <v>10812.38</v>
      </c>
      <c r="M313" s="271">
        <v>12000</v>
      </c>
      <c r="N313" s="34"/>
      <c r="O313" s="34"/>
      <c r="P313" s="272" t="s">
        <v>962</v>
      </c>
    </row>
    <row r="314" spans="1:16" x14ac:dyDescent="0.25">
      <c r="A314" s="270" t="s">
        <v>411</v>
      </c>
      <c r="B314" s="31" t="s">
        <v>410</v>
      </c>
      <c r="C314" s="31" t="s">
        <v>418</v>
      </c>
      <c r="D314" s="31" t="s">
        <v>433</v>
      </c>
      <c r="E314" s="31" t="s">
        <v>189</v>
      </c>
      <c r="F314" s="274" t="s">
        <v>379</v>
      </c>
      <c r="G314" s="33" t="s">
        <v>929</v>
      </c>
      <c r="H314" s="33" t="s">
        <v>602</v>
      </c>
      <c r="I314" s="36" t="s">
        <v>555</v>
      </c>
      <c r="J314" s="36" t="s">
        <v>579</v>
      </c>
      <c r="K314" s="36" t="s">
        <v>935</v>
      </c>
      <c r="L314" s="37">
        <f>2*20183.1</f>
        <v>40366.199999999997</v>
      </c>
      <c r="M314" s="271">
        <f>2*20500</f>
        <v>41000</v>
      </c>
      <c r="N314" s="34" t="s">
        <v>929</v>
      </c>
      <c r="O314" s="34" t="s">
        <v>936</v>
      </c>
      <c r="P314" s="272" t="s">
        <v>945</v>
      </c>
    </row>
    <row r="315" spans="1:16" x14ac:dyDescent="0.25">
      <c r="A315" s="270" t="s">
        <v>411</v>
      </c>
      <c r="B315" s="31" t="s">
        <v>410</v>
      </c>
      <c r="C315" s="31" t="s">
        <v>418</v>
      </c>
      <c r="D315" s="31" t="s">
        <v>433</v>
      </c>
      <c r="E315" s="31" t="s">
        <v>189</v>
      </c>
      <c r="F315" s="274" t="s">
        <v>379</v>
      </c>
      <c r="G315" s="33" t="s">
        <v>929</v>
      </c>
      <c r="H315" s="33" t="s">
        <v>602</v>
      </c>
      <c r="I315" s="36" t="s">
        <v>555</v>
      </c>
      <c r="J315" s="36" t="s">
        <v>579</v>
      </c>
      <c r="K315" s="36" t="s">
        <v>935</v>
      </c>
      <c r="L315" s="37">
        <v>160503.70000000001</v>
      </c>
      <c r="M315" s="271">
        <v>162000</v>
      </c>
      <c r="N315" s="34" t="s">
        <v>929</v>
      </c>
      <c r="O315" s="34" t="s">
        <v>947</v>
      </c>
      <c r="P315" s="272" t="s">
        <v>946</v>
      </c>
    </row>
    <row r="316" spans="1:16" x14ac:dyDescent="0.25">
      <c r="A316" s="270" t="s">
        <v>411</v>
      </c>
      <c r="B316" s="31" t="s">
        <v>410</v>
      </c>
      <c r="C316" s="31" t="s">
        <v>418</v>
      </c>
      <c r="D316" s="31" t="s">
        <v>433</v>
      </c>
      <c r="E316" s="31" t="s">
        <v>189</v>
      </c>
      <c r="F316" s="274" t="s">
        <v>379</v>
      </c>
      <c r="G316" s="33" t="s">
        <v>501</v>
      </c>
      <c r="H316" s="33" t="s">
        <v>603</v>
      </c>
      <c r="I316" s="36" t="s">
        <v>555</v>
      </c>
      <c r="J316" s="36" t="s">
        <v>577</v>
      </c>
      <c r="K316" s="36" t="s">
        <v>1059</v>
      </c>
      <c r="L316" s="37">
        <v>131190.15</v>
      </c>
      <c r="M316" s="271">
        <v>131200</v>
      </c>
      <c r="N316" s="34"/>
      <c r="O316" s="34" t="s">
        <v>1061</v>
      </c>
      <c r="P316" s="272" t="s">
        <v>1060</v>
      </c>
    </row>
    <row r="317" spans="1:16" x14ac:dyDescent="0.25">
      <c r="A317" s="270" t="s">
        <v>411</v>
      </c>
      <c r="B317" s="31" t="s">
        <v>410</v>
      </c>
      <c r="C317" s="31" t="s">
        <v>418</v>
      </c>
      <c r="D317" s="31" t="s">
        <v>433</v>
      </c>
      <c r="E317" s="31" t="s">
        <v>189</v>
      </c>
      <c r="F317" s="274" t="s">
        <v>379</v>
      </c>
      <c r="G317" s="33" t="s">
        <v>1082</v>
      </c>
      <c r="H317" s="33" t="s">
        <v>603</v>
      </c>
      <c r="I317" s="36" t="s">
        <v>555</v>
      </c>
      <c r="J317" s="36" t="s">
        <v>577</v>
      </c>
      <c r="K317" s="36" t="s">
        <v>1059</v>
      </c>
      <c r="L317" s="37">
        <v>0</v>
      </c>
      <c r="M317" s="271">
        <v>0</v>
      </c>
      <c r="N317" s="34"/>
      <c r="O317" s="34" t="s">
        <v>1083</v>
      </c>
      <c r="P317" s="272" t="s">
        <v>1084</v>
      </c>
    </row>
    <row r="318" spans="1:16" x14ac:dyDescent="0.25">
      <c r="A318" s="270" t="s">
        <v>411</v>
      </c>
      <c r="B318" s="31" t="s">
        <v>410</v>
      </c>
      <c r="C318" s="31" t="s">
        <v>418</v>
      </c>
      <c r="D318" s="31" t="s">
        <v>433</v>
      </c>
      <c r="E318" s="31" t="s">
        <v>189</v>
      </c>
      <c r="F318" s="274" t="s">
        <v>379</v>
      </c>
      <c r="G318" s="33" t="s">
        <v>1067</v>
      </c>
      <c r="H318" s="33" t="s">
        <v>603</v>
      </c>
      <c r="I318" s="36" t="s">
        <v>555</v>
      </c>
      <c r="J318" s="36" t="s">
        <v>577</v>
      </c>
      <c r="K318" s="36" t="s">
        <v>589</v>
      </c>
      <c r="L318" s="37">
        <v>108123.75</v>
      </c>
      <c r="M318" s="271">
        <v>108200</v>
      </c>
      <c r="N318" s="34"/>
      <c r="O318" s="34" t="s">
        <v>1076</v>
      </c>
      <c r="P318" s="272" t="s">
        <v>1073</v>
      </c>
    </row>
    <row r="319" spans="1:16" x14ac:dyDescent="0.25">
      <c r="A319" s="270" t="s">
        <v>411</v>
      </c>
      <c r="B319" s="31" t="s">
        <v>410</v>
      </c>
      <c r="C319" s="31" t="s">
        <v>418</v>
      </c>
      <c r="D319" s="31" t="s">
        <v>433</v>
      </c>
      <c r="E319" s="31" t="s">
        <v>189</v>
      </c>
      <c r="F319" s="274" t="s">
        <v>379</v>
      </c>
      <c r="G319" s="33" t="s">
        <v>1077</v>
      </c>
      <c r="H319" s="33" t="s">
        <v>603</v>
      </c>
      <c r="I319" s="36" t="s">
        <v>555</v>
      </c>
      <c r="J319" s="36" t="s">
        <v>577</v>
      </c>
      <c r="K319" s="36" t="s">
        <v>509</v>
      </c>
      <c r="L319" s="37">
        <v>4324.95</v>
      </c>
      <c r="M319" s="271">
        <v>4350</v>
      </c>
      <c r="N319" s="34"/>
      <c r="O319" s="34" t="s">
        <v>1078</v>
      </c>
      <c r="P319" s="272" t="s">
        <v>1079</v>
      </c>
    </row>
    <row r="320" spans="1:16" x14ac:dyDescent="0.25">
      <c r="A320" s="270" t="s">
        <v>411</v>
      </c>
      <c r="B320" s="31" t="s">
        <v>410</v>
      </c>
      <c r="C320" s="31" t="s">
        <v>418</v>
      </c>
      <c r="D320" s="31" t="s">
        <v>433</v>
      </c>
      <c r="E320" s="31" t="s">
        <v>189</v>
      </c>
      <c r="F320" s="274" t="s">
        <v>379</v>
      </c>
      <c r="G320" s="33" t="s">
        <v>1146</v>
      </c>
      <c r="H320" s="33" t="s">
        <v>603</v>
      </c>
      <c r="I320" s="36" t="s">
        <v>555</v>
      </c>
      <c r="J320" s="36" t="s">
        <v>577</v>
      </c>
      <c r="K320" s="36" t="s">
        <v>501</v>
      </c>
      <c r="L320" s="37">
        <v>16819.25</v>
      </c>
      <c r="M320" s="271">
        <v>16900</v>
      </c>
      <c r="N320" s="34"/>
      <c r="O320" s="34" t="s">
        <v>501</v>
      </c>
      <c r="P320" s="272" t="s">
        <v>1142</v>
      </c>
    </row>
    <row r="321" spans="1:16" x14ac:dyDescent="0.25">
      <c r="A321" s="270" t="s">
        <v>411</v>
      </c>
      <c r="B321" s="31" t="s">
        <v>410</v>
      </c>
      <c r="C321" s="31" t="s">
        <v>418</v>
      </c>
      <c r="D321" s="31" t="s">
        <v>433</v>
      </c>
      <c r="E321" s="31" t="s">
        <v>189</v>
      </c>
      <c r="F321" s="274" t="s">
        <v>379</v>
      </c>
      <c r="G321" s="33" t="s">
        <v>1068</v>
      </c>
      <c r="H321" s="33" t="s">
        <v>603</v>
      </c>
      <c r="I321" s="36" t="s">
        <v>555</v>
      </c>
      <c r="J321" s="36" t="s">
        <v>577</v>
      </c>
      <c r="K321" s="36" t="s">
        <v>510</v>
      </c>
      <c r="L321" s="37">
        <v>0</v>
      </c>
      <c r="M321" s="271">
        <v>0</v>
      </c>
      <c r="N321" s="34"/>
      <c r="O321" s="34" t="s">
        <v>1070</v>
      </c>
      <c r="P321" s="272" t="s">
        <v>1069</v>
      </c>
    </row>
    <row r="322" spans="1:16" x14ac:dyDescent="0.25">
      <c r="A322" s="270" t="s">
        <v>411</v>
      </c>
      <c r="B322" s="31" t="s">
        <v>410</v>
      </c>
      <c r="C322" s="31" t="s">
        <v>418</v>
      </c>
      <c r="D322" s="31" t="s">
        <v>433</v>
      </c>
      <c r="E322" s="31" t="s">
        <v>189</v>
      </c>
      <c r="F322" s="274" t="s">
        <v>379</v>
      </c>
      <c r="G322" s="33" t="s">
        <v>876</v>
      </c>
      <c r="H322" s="33" t="s">
        <v>603</v>
      </c>
      <c r="I322" s="36" t="s">
        <v>555</v>
      </c>
      <c r="J322" s="36" t="s">
        <v>577</v>
      </c>
      <c r="K322" s="36" t="s">
        <v>1029</v>
      </c>
      <c r="L322" s="37">
        <v>10091.549999999999</v>
      </c>
      <c r="M322" s="271">
        <v>10100</v>
      </c>
      <c r="N322" s="34"/>
      <c r="O322" s="34"/>
      <c r="P322" s="272" t="s">
        <v>1030</v>
      </c>
    </row>
    <row r="323" spans="1:16" x14ac:dyDescent="0.25">
      <c r="A323" s="270" t="s">
        <v>411</v>
      </c>
      <c r="B323" s="31" t="s">
        <v>410</v>
      </c>
      <c r="C323" s="31" t="s">
        <v>418</v>
      </c>
      <c r="D323" s="31" t="s">
        <v>433</v>
      </c>
      <c r="E323" s="31" t="s">
        <v>189</v>
      </c>
      <c r="F323" s="274" t="s">
        <v>379</v>
      </c>
      <c r="G323" s="33" t="s">
        <v>575</v>
      </c>
      <c r="H323" s="33" t="s">
        <v>603</v>
      </c>
      <c r="I323" s="36" t="s">
        <v>555</v>
      </c>
      <c r="J323" s="36" t="s">
        <v>577</v>
      </c>
      <c r="K323" s="36" t="s">
        <v>1029</v>
      </c>
      <c r="L323" s="37">
        <v>38203.730000000003</v>
      </c>
      <c r="M323" s="271">
        <v>38500</v>
      </c>
      <c r="N323" s="34"/>
      <c r="O323" s="34"/>
      <c r="P323" s="272" t="s">
        <v>1031</v>
      </c>
    </row>
    <row r="324" spans="1:16" x14ac:dyDescent="0.25">
      <c r="A324" s="270" t="s">
        <v>411</v>
      </c>
      <c r="B324" s="31" t="s">
        <v>410</v>
      </c>
      <c r="C324" s="31" t="s">
        <v>418</v>
      </c>
      <c r="D324" s="31" t="s">
        <v>433</v>
      </c>
      <c r="E324" s="31" t="s">
        <v>189</v>
      </c>
      <c r="F324" s="274" t="s">
        <v>379</v>
      </c>
      <c r="G324" s="33" t="s">
        <v>1066</v>
      </c>
      <c r="H324" s="33" t="s">
        <v>603</v>
      </c>
      <c r="I324" s="36" t="s">
        <v>555</v>
      </c>
      <c r="J324" s="36" t="s">
        <v>577</v>
      </c>
      <c r="K324" s="36" t="s">
        <v>996</v>
      </c>
      <c r="L324" s="37">
        <v>0</v>
      </c>
      <c r="M324" s="271">
        <v>0</v>
      </c>
      <c r="N324" s="34"/>
      <c r="O324" s="34" t="s">
        <v>1063</v>
      </c>
      <c r="P324" s="272" t="s">
        <v>1064</v>
      </c>
    </row>
    <row r="325" spans="1:16" x14ac:dyDescent="0.25">
      <c r="A325" s="270" t="s">
        <v>411</v>
      </c>
      <c r="B325" s="31" t="s">
        <v>410</v>
      </c>
      <c r="C325" s="31" t="s">
        <v>418</v>
      </c>
      <c r="D325" s="31" t="s">
        <v>433</v>
      </c>
      <c r="E325" s="31" t="s">
        <v>189</v>
      </c>
      <c r="F325" s="274" t="s">
        <v>379</v>
      </c>
      <c r="G325" s="33" t="s">
        <v>554</v>
      </c>
      <c r="H325" s="33" t="s">
        <v>603</v>
      </c>
      <c r="I325" s="36" t="s">
        <v>555</v>
      </c>
      <c r="J325" s="36" t="s">
        <v>577</v>
      </c>
      <c r="K325" s="36" t="s">
        <v>554</v>
      </c>
      <c r="L325" s="37">
        <v>48055</v>
      </c>
      <c r="M325" s="271">
        <v>50000</v>
      </c>
      <c r="N325" s="34"/>
      <c r="O325" s="34" t="s">
        <v>554</v>
      </c>
      <c r="P325" s="272" t="s">
        <v>1193</v>
      </c>
    </row>
    <row r="326" spans="1:16" x14ac:dyDescent="0.25">
      <c r="A326" s="270" t="s">
        <v>411</v>
      </c>
      <c r="B326" s="31" t="s">
        <v>410</v>
      </c>
      <c r="C326" s="31" t="s">
        <v>418</v>
      </c>
      <c r="D326" s="31" t="s">
        <v>433</v>
      </c>
      <c r="E326" s="31" t="s">
        <v>189</v>
      </c>
      <c r="F326" s="274" t="s">
        <v>379</v>
      </c>
      <c r="G326" s="33" t="s">
        <v>1117</v>
      </c>
      <c r="H326" s="33" t="s">
        <v>603</v>
      </c>
      <c r="I326" s="36" t="s">
        <v>555</v>
      </c>
      <c r="J326" s="36" t="s">
        <v>578</v>
      </c>
      <c r="K326" s="36" t="s">
        <v>1118</v>
      </c>
      <c r="L326" s="37">
        <v>1074750.08</v>
      </c>
      <c r="M326" s="271">
        <v>1080000</v>
      </c>
      <c r="N326" s="34"/>
      <c r="O326" s="34" t="s">
        <v>1119</v>
      </c>
      <c r="P326" s="272" t="s">
        <v>1120</v>
      </c>
    </row>
    <row r="327" spans="1:16" x14ac:dyDescent="0.25">
      <c r="A327" s="270" t="s">
        <v>411</v>
      </c>
      <c r="B327" s="31" t="s">
        <v>410</v>
      </c>
      <c r="C327" s="31" t="s">
        <v>418</v>
      </c>
      <c r="D327" s="31" t="s">
        <v>433</v>
      </c>
      <c r="E327" s="31" t="s">
        <v>189</v>
      </c>
      <c r="F327" s="274" t="s">
        <v>379</v>
      </c>
      <c r="G327" s="33" t="s">
        <v>596</v>
      </c>
      <c r="H327" s="33" t="s">
        <v>603</v>
      </c>
      <c r="I327" s="36" t="s">
        <v>555</v>
      </c>
      <c r="J327" s="36" t="s">
        <v>578</v>
      </c>
      <c r="K327" s="36" t="s">
        <v>604</v>
      </c>
      <c r="L327" s="37">
        <v>22105.3</v>
      </c>
      <c r="M327" s="271">
        <v>24000</v>
      </c>
      <c r="N327" s="34"/>
      <c r="O327" s="34"/>
      <c r="P327" s="272" t="s">
        <v>967</v>
      </c>
    </row>
    <row r="328" spans="1:16" x14ac:dyDescent="0.25">
      <c r="A328" s="270" t="s">
        <v>411</v>
      </c>
      <c r="B328" s="31" t="s">
        <v>410</v>
      </c>
      <c r="C328" s="31" t="s">
        <v>418</v>
      </c>
      <c r="D328" s="31" t="s">
        <v>433</v>
      </c>
      <c r="E328" s="31" t="s">
        <v>189</v>
      </c>
      <c r="F328" s="274" t="s">
        <v>379</v>
      </c>
      <c r="G328" s="33" t="s">
        <v>527</v>
      </c>
      <c r="H328" s="33" t="s">
        <v>603</v>
      </c>
      <c r="I328" s="36" t="s">
        <v>555</v>
      </c>
      <c r="J328" s="36" t="s">
        <v>578</v>
      </c>
      <c r="K328" s="36" t="s">
        <v>604</v>
      </c>
      <c r="L328" s="37">
        <v>30034.38</v>
      </c>
      <c r="M328" s="271">
        <v>31500</v>
      </c>
      <c r="N328" s="34"/>
      <c r="O328" s="34"/>
      <c r="P328" s="276" t="s">
        <v>969</v>
      </c>
    </row>
    <row r="329" spans="1:16" x14ac:dyDescent="0.25">
      <c r="A329" s="270" t="s">
        <v>411</v>
      </c>
      <c r="B329" s="31" t="s">
        <v>410</v>
      </c>
      <c r="C329" s="31" t="s">
        <v>418</v>
      </c>
      <c r="D329" s="31" t="s">
        <v>433</v>
      </c>
      <c r="E329" s="31" t="s">
        <v>189</v>
      </c>
      <c r="F329" s="274" t="s">
        <v>379</v>
      </c>
      <c r="G329" s="33" t="s">
        <v>525</v>
      </c>
      <c r="H329" s="33" t="s">
        <v>603</v>
      </c>
      <c r="I329" s="36" t="s">
        <v>555</v>
      </c>
      <c r="J329" s="36" t="s">
        <v>578</v>
      </c>
      <c r="K329" s="36" t="s">
        <v>604</v>
      </c>
      <c r="L329" s="37">
        <v>10091.549999999999</v>
      </c>
      <c r="M329" s="271">
        <v>10200</v>
      </c>
      <c r="N329" s="34"/>
      <c r="O329" s="34"/>
      <c r="P329" s="272" t="s">
        <v>526</v>
      </c>
    </row>
    <row r="330" spans="1:16" x14ac:dyDescent="0.25">
      <c r="A330" s="270" t="s">
        <v>411</v>
      </c>
      <c r="B330" s="31" t="s">
        <v>410</v>
      </c>
      <c r="C330" s="31" t="s">
        <v>418</v>
      </c>
      <c r="D330" s="31" t="s">
        <v>433</v>
      </c>
      <c r="E330" s="31" t="s">
        <v>189</v>
      </c>
      <c r="F330" s="274" t="s">
        <v>379</v>
      </c>
      <c r="G330" s="33" t="s">
        <v>527</v>
      </c>
      <c r="H330" s="33" t="s">
        <v>603</v>
      </c>
      <c r="I330" s="36" t="s">
        <v>555</v>
      </c>
      <c r="J330" s="36" t="s">
        <v>578</v>
      </c>
      <c r="K330" s="36" t="s">
        <v>604</v>
      </c>
      <c r="L330" s="37">
        <v>30034.38</v>
      </c>
      <c r="M330" s="271">
        <v>30050</v>
      </c>
      <c r="N330" s="34"/>
      <c r="O330" s="34"/>
      <c r="P330" s="272" t="s">
        <v>1021</v>
      </c>
    </row>
    <row r="331" spans="1:16" x14ac:dyDescent="0.25">
      <c r="A331" s="270" t="s">
        <v>411</v>
      </c>
      <c r="B331" s="31" t="s">
        <v>410</v>
      </c>
      <c r="C331" s="31" t="s">
        <v>418</v>
      </c>
      <c r="D331" s="31" t="s">
        <v>433</v>
      </c>
      <c r="E331" s="31" t="s">
        <v>189</v>
      </c>
      <c r="F331" s="274" t="s">
        <v>379</v>
      </c>
      <c r="G331" s="33" t="s">
        <v>929</v>
      </c>
      <c r="H331" s="33" t="s">
        <v>602</v>
      </c>
      <c r="I331" s="36" t="s">
        <v>555</v>
      </c>
      <c r="J331" s="36" t="s">
        <v>578</v>
      </c>
      <c r="K331" s="36" t="s">
        <v>571</v>
      </c>
      <c r="L331" s="37">
        <v>17059.53</v>
      </c>
      <c r="M331" s="271">
        <v>17100</v>
      </c>
      <c r="N331" s="34" t="s">
        <v>929</v>
      </c>
      <c r="O331" s="34" t="s">
        <v>930</v>
      </c>
      <c r="P331" s="272" t="s">
        <v>928</v>
      </c>
    </row>
    <row r="332" spans="1:16" x14ac:dyDescent="0.25">
      <c r="A332" s="270" t="s">
        <v>411</v>
      </c>
      <c r="B332" s="31" t="s">
        <v>410</v>
      </c>
      <c r="C332" s="31" t="s">
        <v>418</v>
      </c>
      <c r="D332" s="31" t="s">
        <v>433</v>
      </c>
      <c r="E332" s="31" t="s">
        <v>189</v>
      </c>
      <c r="F332" s="274" t="s">
        <v>379</v>
      </c>
      <c r="G332" s="33" t="s">
        <v>929</v>
      </c>
      <c r="H332" s="33" t="s">
        <v>602</v>
      </c>
      <c r="I332" s="36" t="s">
        <v>555</v>
      </c>
      <c r="J332" s="36" t="s">
        <v>578</v>
      </c>
      <c r="K332" s="36" t="s">
        <v>571</v>
      </c>
      <c r="L332" s="37">
        <v>97311.38</v>
      </c>
      <c r="M332" s="271">
        <v>97500</v>
      </c>
      <c r="N332" s="34" t="s">
        <v>929</v>
      </c>
      <c r="O332" s="34" t="s">
        <v>933</v>
      </c>
      <c r="P332" s="272" t="s">
        <v>934</v>
      </c>
    </row>
    <row r="333" spans="1:16" x14ac:dyDescent="0.25">
      <c r="A333" s="270" t="s">
        <v>411</v>
      </c>
      <c r="B333" s="31" t="s">
        <v>410</v>
      </c>
      <c r="C333" s="31" t="s">
        <v>418</v>
      </c>
      <c r="D333" s="31" t="s">
        <v>433</v>
      </c>
      <c r="E333" s="31" t="s">
        <v>189</v>
      </c>
      <c r="F333" s="274" t="s">
        <v>379</v>
      </c>
      <c r="G333" s="33" t="s">
        <v>929</v>
      </c>
      <c r="H333" s="33" t="s">
        <v>602</v>
      </c>
      <c r="I333" s="36" t="s">
        <v>555</v>
      </c>
      <c r="J333" s="36" t="s">
        <v>578</v>
      </c>
      <c r="K333" s="36" t="s">
        <v>932</v>
      </c>
      <c r="L333" s="37">
        <v>20183.099999999999</v>
      </c>
      <c r="M333" s="271">
        <v>20500</v>
      </c>
      <c r="N333" s="34" t="s">
        <v>929</v>
      </c>
      <c r="O333" s="34" t="s">
        <v>931</v>
      </c>
      <c r="P333" s="272" t="s">
        <v>927</v>
      </c>
    </row>
    <row r="334" spans="1:16" x14ac:dyDescent="0.25">
      <c r="A334" s="270" t="s">
        <v>411</v>
      </c>
      <c r="B334" s="31" t="s">
        <v>410</v>
      </c>
      <c r="C334" s="31" t="s">
        <v>418</v>
      </c>
      <c r="D334" s="31" t="s">
        <v>433</v>
      </c>
      <c r="E334" s="31" t="s">
        <v>189</v>
      </c>
      <c r="F334" s="274" t="s">
        <v>379</v>
      </c>
      <c r="G334" s="33" t="s">
        <v>929</v>
      </c>
      <c r="H334" s="33" t="s">
        <v>602</v>
      </c>
      <c r="I334" s="36" t="s">
        <v>555</v>
      </c>
      <c r="J334" s="36" t="s">
        <v>578</v>
      </c>
      <c r="K334" s="36" t="s">
        <v>949</v>
      </c>
      <c r="L334" s="37">
        <v>20183.099999999999</v>
      </c>
      <c r="M334" s="271">
        <v>20500</v>
      </c>
      <c r="N334" s="34" t="s">
        <v>929</v>
      </c>
      <c r="O334" s="34" t="s">
        <v>949</v>
      </c>
      <c r="P334" s="272" t="s">
        <v>953</v>
      </c>
    </row>
    <row r="335" spans="1:16" x14ac:dyDescent="0.25">
      <c r="A335" s="270" t="s">
        <v>411</v>
      </c>
      <c r="B335" s="31" t="s">
        <v>410</v>
      </c>
      <c r="C335" s="31" t="s">
        <v>418</v>
      </c>
      <c r="D335" s="31" t="s">
        <v>433</v>
      </c>
      <c r="E335" s="31" t="s">
        <v>189</v>
      </c>
      <c r="F335" s="274" t="s">
        <v>379</v>
      </c>
      <c r="G335" s="33" t="s">
        <v>1112</v>
      </c>
      <c r="H335" s="33" t="s">
        <v>603</v>
      </c>
      <c r="I335" s="36" t="s">
        <v>555</v>
      </c>
      <c r="J335" s="36" t="s">
        <v>578</v>
      </c>
      <c r="K335" s="36" t="s">
        <v>1113</v>
      </c>
      <c r="L335" s="37">
        <v>0</v>
      </c>
      <c r="M335" s="271">
        <v>0</v>
      </c>
      <c r="N335" s="34"/>
      <c r="O335" s="34" t="s">
        <v>1114</v>
      </c>
      <c r="P335" s="272" t="s">
        <v>1116</v>
      </c>
    </row>
    <row r="336" spans="1:16" x14ac:dyDescent="0.25">
      <c r="A336" s="270" t="s">
        <v>411</v>
      </c>
      <c r="B336" s="31" t="s">
        <v>410</v>
      </c>
      <c r="C336" s="31" t="s">
        <v>418</v>
      </c>
      <c r="D336" s="31" t="s">
        <v>433</v>
      </c>
      <c r="E336" s="31" t="s">
        <v>189</v>
      </c>
      <c r="F336" s="274" t="s">
        <v>379</v>
      </c>
      <c r="G336" s="33" t="s">
        <v>1092</v>
      </c>
      <c r="H336" s="33" t="s">
        <v>603</v>
      </c>
      <c r="I336" s="36" t="s">
        <v>555</v>
      </c>
      <c r="J336" s="36" t="s">
        <v>875</v>
      </c>
      <c r="K336" s="36" t="s">
        <v>1093</v>
      </c>
      <c r="L336" s="37">
        <v>0</v>
      </c>
      <c r="M336" s="271">
        <v>0</v>
      </c>
      <c r="N336" s="34"/>
      <c r="O336" s="34" t="s">
        <v>1094</v>
      </c>
      <c r="P336" s="272" t="s">
        <v>1103</v>
      </c>
    </row>
    <row r="337" spans="1:16" x14ac:dyDescent="0.25">
      <c r="A337" s="270" t="s">
        <v>411</v>
      </c>
      <c r="B337" s="31" t="s">
        <v>410</v>
      </c>
      <c r="C337" s="31" t="s">
        <v>418</v>
      </c>
      <c r="D337" s="31" t="s">
        <v>433</v>
      </c>
      <c r="E337" s="31" t="s">
        <v>189</v>
      </c>
      <c r="F337" s="274" t="s">
        <v>379</v>
      </c>
      <c r="G337" s="33" t="s">
        <v>1107</v>
      </c>
      <c r="H337" s="33" t="s">
        <v>603</v>
      </c>
      <c r="I337" s="36" t="s">
        <v>555</v>
      </c>
      <c r="J337" s="36" t="s">
        <v>875</v>
      </c>
      <c r="K337" s="36" t="s">
        <v>1093</v>
      </c>
      <c r="L337" s="37">
        <v>43730.05</v>
      </c>
      <c r="M337" s="271">
        <v>43750</v>
      </c>
      <c r="N337" s="34"/>
      <c r="O337" s="34" t="s">
        <v>1108</v>
      </c>
      <c r="P337" s="272" t="s">
        <v>1109</v>
      </c>
    </row>
    <row r="338" spans="1:16" x14ac:dyDescent="0.25">
      <c r="A338" s="270" t="s">
        <v>411</v>
      </c>
      <c r="B338" s="31" t="s">
        <v>410</v>
      </c>
      <c r="C338" s="31" t="s">
        <v>418</v>
      </c>
      <c r="D338" s="31" t="s">
        <v>433</v>
      </c>
      <c r="E338" s="31" t="s">
        <v>189</v>
      </c>
      <c r="F338" s="274" t="s">
        <v>379</v>
      </c>
      <c r="G338" s="33" t="s">
        <v>1092</v>
      </c>
      <c r="H338" s="33" t="s">
        <v>603</v>
      </c>
      <c r="I338" s="36" t="s">
        <v>555</v>
      </c>
      <c r="J338" s="36" t="s">
        <v>875</v>
      </c>
      <c r="K338" s="36" t="s">
        <v>1093</v>
      </c>
      <c r="L338" s="37">
        <v>0</v>
      </c>
      <c r="M338" s="271">
        <v>0</v>
      </c>
      <c r="N338" s="34"/>
      <c r="O338" s="34" t="s">
        <v>1096</v>
      </c>
      <c r="P338" s="272" t="s">
        <v>1097</v>
      </c>
    </row>
    <row r="339" spans="1:16" x14ac:dyDescent="0.25">
      <c r="A339" s="270" t="s">
        <v>411</v>
      </c>
      <c r="B339" s="31" t="s">
        <v>410</v>
      </c>
      <c r="C339" s="31" t="s">
        <v>418</v>
      </c>
      <c r="D339" s="31" t="s">
        <v>433</v>
      </c>
      <c r="E339" s="31" t="s">
        <v>189</v>
      </c>
      <c r="F339" s="274" t="s">
        <v>379</v>
      </c>
      <c r="G339" s="33" t="s">
        <v>1092</v>
      </c>
      <c r="H339" s="33" t="s">
        <v>603</v>
      </c>
      <c r="I339" s="36" t="s">
        <v>555</v>
      </c>
      <c r="J339" s="36" t="s">
        <v>875</v>
      </c>
      <c r="K339" s="36" t="s">
        <v>1093</v>
      </c>
      <c r="L339" s="37">
        <v>16819.25</v>
      </c>
      <c r="M339" s="271">
        <v>16850</v>
      </c>
      <c r="N339" s="34"/>
      <c r="O339" s="34" t="s">
        <v>1099</v>
      </c>
      <c r="P339" s="272" t="s">
        <v>1106</v>
      </c>
    </row>
    <row r="340" spans="1:16" x14ac:dyDescent="0.25">
      <c r="A340" s="270" t="s">
        <v>411</v>
      </c>
      <c r="B340" s="31" t="s">
        <v>410</v>
      </c>
      <c r="C340" s="31" t="s">
        <v>418</v>
      </c>
      <c r="D340" s="31" t="s">
        <v>433</v>
      </c>
      <c r="E340" s="31" t="s">
        <v>189</v>
      </c>
      <c r="F340" s="274" t="s">
        <v>379</v>
      </c>
      <c r="G340" s="33" t="s">
        <v>1163</v>
      </c>
      <c r="H340" s="33" t="s">
        <v>603</v>
      </c>
      <c r="I340" s="36" t="s">
        <v>555</v>
      </c>
      <c r="J340" s="36" t="s">
        <v>875</v>
      </c>
      <c r="K340" s="36" t="s">
        <v>590</v>
      </c>
      <c r="L340" s="37">
        <v>0</v>
      </c>
      <c r="M340" s="271">
        <v>0</v>
      </c>
      <c r="N340" s="34"/>
      <c r="O340" s="34" t="s">
        <v>1161</v>
      </c>
      <c r="P340" s="272" t="s">
        <v>1160</v>
      </c>
    </row>
    <row r="341" spans="1:16" x14ac:dyDescent="0.25">
      <c r="A341" s="270" t="s">
        <v>411</v>
      </c>
      <c r="B341" s="31" t="s">
        <v>410</v>
      </c>
      <c r="C341" s="31" t="s">
        <v>418</v>
      </c>
      <c r="D341" s="31" t="s">
        <v>433</v>
      </c>
      <c r="E341" s="31" t="s">
        <v>189</v>
      </c>
      <c r="F341" s="274" t="s">
        <v>379</v>
      </c>
      <c r="G341" s="33" t="s">
        <v>1143</v>
      </c>
      <c r="H341" s="33" t="s">
        <v>603</v>
      </c>
      <c r="I341" s="36" t="s">
        <v>555</v>
      </c>
      <c r="J341" s="36" t="s">
        <v>875</v>
      </c>
      <c r="K341" s="36" t="s">
        <v>508</v>
      </c>
      <c r="L341" s="37">
        <v>3363.85</v>
      </c>
      <c r="M341" s="271">
        <v>3400</v>
      </c>
      <c r="N341" s="34"/>
      <c r="O341" s="34" t="s">
        <v>508</v>
      </c>
      <c r="P341" s="272" t="s">
        <v>1145</v>
      </c>
    </row>
    <row r="342" spans="1:16" x14ac:dyDescent="0.25">
      <c r="A342" s="270" t="s">
        <v>411</v>
      </c>
      <c r="B342" s="31" t="s">
        <v>410</v>
      </c>
      <c r="C342" s="31" t="s">
        <v>418</v>
      </c>
      <c r="D342" s="31" t="s">
        <v>433</v>
      </c>
      <c r="E342" s="31" t="s">
        <v>189</v>
      </c>
      <c r="F342" s="274" t="s">
        <v>379</v>
      </c>
      <c r="G342" s="33" t="s">
        <v>1166</v>
      </c>
      <c r="H342" s="33" t="s">
        <v>603</v>
      </c>
      <c r="I342" s="36" t="s">
        <v>555</v>
      </c>
      <c r="J342" s="36" t="s">
        <v>875</v>
      </c>
      <c r="K342" s="36" t="s">
        <v>519</v>
      </c>
      <c r="L342" s="37">
        <v>0</v>
      </c>
      <c r="M342" s="271">
        <v>0</v>
      </c>
      <c r="N342" s="34"/>
      <c r="O342" s="34" t="s">
        <v>1161</v>
      </c>
      <c r="P342" s="272" t="s">
        <v>1164</v>
      </c>
    </row>
    <row r="343" spans="1:16" x14ac:dyDescent="0.25">
      <c r="A343" s="270" t="s">
        <v>411</v>
      </c>
      <c r="B343" s="31" t="s">
        <v>410</v>
      </c>
      <c r="C343" s="31" t="s">
        <v>418</v>
      </c>
      <c r="D343" s="31" t="s">
        <v>433</v>
      </c>
      <c r="E343" s="31" t="s">
        <v>189</v>
      </c>
      <c r="F343" s="274" t="s">
        <v>379</v>
      </c>
      <c r="G343" s="33" t="s">
        <v>1147</v>
      </c>
      <c r="H343" s="33" t="s">
        <v>603</v>
      </c>
      <c r="I343" s="36" t="s">
        <v>555</v>
      </c>
      <c r="J343" s="36" t="s">
        <v>875</v>
      </c>
      <c r="K343" s="36" t="s">
        <v>517</v>
      </c>
      <c r="L343" s="37">
        <v>60068.75</v>
      </c>
      <c r="M343" s="271">
        <v>61100</v>
      </c>
      <c r="N343" s="34" t="s">
        <v>973</v>
      </c>
      <c r="O343" s="34" t="s">
        <v>1025</v>
      </c>
      <c r="P343" s="272" t="s">
        <v>1026</v>
      </c>
    </row>
    <row r="344" spans="1:16" x14ac:dyDescent="0.25">
      <c r="A344" s="270" t="s">
        <v>411</v>
      </c>
      <c r="B344" s="31" t="s">
        <v>410</v>
      </c>
      <c r="C344" s="31" t="s">
        <v>418</v>
      </c>
      <c r="D344" s="31" t="s">
        <v>433</v>
      </c>
      <c r="E344" s="31" t="s">
        <v>189</v>
      </c>
      <c r="F344" s="274" t="s">
        <v>379</v>
      </c>
      <c r="G344" s="33" t="s">
        <v>885</v>
      </c>
      <c r="H344" s="33" t="s">
        <v>603</v>
      </c>
      <c r="I344" s="36" t="s">
        <v>555</v>
      </c>
      <c r="J344" s="36" t="s">
        <v>875</v>
      </c>
      <c r="K344" s="36" t="s">
        <v>1195</v>
      </c>
      <c r="L344" s="37">
        <v>55962.5</v>
      </c>
      <c r="M344" s="271">
        <v>57000</v>
      </c>
      <c r="N344" s="34"/>
      <c r="O344" s="34" t="s">
        <v>1192</v>
      </c>
      <c r="P344" s="272" t="s">
        <v>1188</v>
      </c>
    </row>
    <row r="345" spans="1:16" x14ac:dyDescent="0.25">
      <c r="A345" s="270" t="s">
        <v>411</v>
      </c>
      <c r="B345" s="31" t="s">
        <v>410</v>
      </c>
      <c r="C345" s="31" t="s">
        <v>418</v>
      </c>
      <c r="D345" s="31" t="s">
        <v>433</v>
      </c>
      <c r="E345" s="31" t="s">
        <v>189</v>
      </c>
      <c r="F345" s="274" t="s">
        <v>379</v>
      </c>
      <c r="G345" s="33" t="s">
        <v>885</v>
      </c>
      <c r="H345" s="33" t="s">
        <v>603</v>
      </c>
      <c r="I345" s="36" t="s">
        <v>555</v>
      </c>
      <c r="J345" s="36" t="s">
        <v>875</v>
      </c>
      <c r="K345" s="36" t="s">
        <v>1194</v>
      </c>
      <c r="L345" s="37">
        <v>78347.5</v>
      </c>
      <c r="M345" s="271">
        <v>80000</v>
      </c>
      <c r="N345" s="34"/>
      <c r="O345" s="34" t="s">
        <v>1185</v>
      </c>
      <c r="P345" s="272" t="s">
        <v>1184</v>
      </c>
    </row>
    <row r="346" spans="1:16" x14ac:dyDescent="0.25">
      <c r="A346" s="270" t="s">
        <v>411</v>
      </c>
      <c r="B346" s="31" t="s">
        <v>410</v>
      </c>
      <c r="C346" s="31" t="s">
        <v>418</v>
      </c>
      <c r="D346" s="31" t="s">
        <v>433</v>
      </c>
      <c r="E346" s="31" t="s">
        <v>189</v>
      </c>
      <c r="F346" s="274" t="s">
        <v>379</v>
      </c>
      <c r="G346" s="33" t="s">
        <v>885</v>
      </c>
      <c r="H346" s="33" t="s">
        <v>603</v>
      </c>
      <c r="I346" s="36" t="s">
        <v>555</v>
      </c>
      <c r="J346" s="36" t="s">
        <v>875</v>
      </c>
      <c r="K346" s="36" t="s">
        <v>1196</v>
      </c>
      <c r="L346" s="37">
        <v>30525</v>
      </c>
      <c r="M346" s="271">
        <v>31000</v>
      </c>
      <c r="N346" s="34"/>
      <c r="O346" s="34" t="s">
        <v>1183</v>
      </c>
      <c r="P346" s="272" t="s">
        <v>1180</v>
      </c>
    </row>
    <row r="347" spans="1:16" x14ac:dyDescent="0.25">
      <c r="A347" s="270" t="s">
        <v>411</v>
      </c>
      <c r="B347" s="31" t="s">
        <v>410</v>
      </c>
      <c r="C347" s="31" t="s">
        <v>418</v>
      </c>
      <c r="D347" s="31" t="s">
        <v>433</v>
      </c>
      <c r="E347" s="31" t="s">
        <v>189</v>
      </c>
      <c r="F347" s="274" t="s">
        <v>379</v>
      </c>
      <c r="G347" s="33" t="s">
        <v>885</v>
      </c>
      <c r="H347" s="33" t="s">
        <v>603</v>
      </c>
      <c r="I347" s="36" t="s">
        <v>555</v>
      </c>
      <c r="J347" s="36" t="s">
        <v>875</v>
      </c>
      <c r="K347" s="36" t="s">
        <v>1196</v>
      </c>
      <c r="L347" s="37">
        <v>13227.5</v>
      </c>
      <c r="M347" s="271">
        <v>14000</v>
      </c>
      <c r="N347" s="34"/>
      <c r="O347" s="34" t="s">
        <v>1181</v>
      </c>
      <c r="P347" s="272" t="s">
        <v>1174</v>
      </c>
    </row>
    <row r="348" spans="1:16" x14ac:dyDescent="0.25">
      <c r="A348" s="270" t="s">
        <v>411</v>
      </c>
      <c r="B348" s="31" t="s">
        <v>410</v>
      </c>
      <c r="C348" s="31" t="s">
        <v>418</v>
      </c>
      <c r="D348" s="31" t="s">
        <v>433</v>
      </c>
      <c r="E348" s="31" t="s">
        <v>189</v>
      </c>
      <c r="F348" s="274" t="s">
        <v>379</v>
      </c>
      <c r="G348" s="33" t="s">
        <v>885</v>
      </c>
      <c r="H348" s="33" t="s">
        <v>603</v>
      </c>
      <c r="I348" s="36" t="s">
        <v>555</v>
      </c>
      <c r="J348" s="36" t="s">
        <v>875</v>
      </c>
      <c r="K348" s="36" t="s">
        <v>1196</v>
      </c>
      <c r="L348" s="37">
        <v>13227.5</v>
      </c>
      <c r="M348" s="271">
        <v>13500</v>
      </c>
      <c r="N348" s="34"/>
      <c r="O348" s="34" t="s">
        <v>1182</v>
      </c>
      <c r="P348" s="272" t="s">
        <v>1175</v>
      </c>
    </row>
    <row r="349" spans="1:16" x14ac:dyDescent="0.25">
      <c r="A349" s="270" t="s">
        <v>411</v>
      </c>
      <c r="B349" s="31" t="s">
        <v>410</v>
      </c>
      <c r="C349" s="31" t="s">
        <v>418</v>
      </c>
      <c r="D349" s="31" t="s">
        <v>433</v>
      </c>
      <c r="E349" s="31" t="s">
        <v>189</v>
      </c>
      <c r="F349" s="274" t="s">
        <v>379</v>
      </c>
      <c r="G349" s="33" t="s">
        <v>885</v>
      </c>
      <c r="H349" s="33" t="s">
        <v>603</v>
      </c>
      <c r="I349" s="36" t="s">
        <v>555</v>
      </c>
      <c r="J349" s="36" t="s">
        <v>875</v>
      </c>
      <c r="K349" s="36" t="s">
        <v>1045</v>
      </c>
      <c r="L349" s="37">
        <v>30274.65</v>
      </c>
      <c r="M349" s="271">
        <v>30300</v>
      </c>
      <c r="N349" s="34"/>
      <c r="O349" s="34" t="s">
        <v>1047</v>
      </c>
      <c r="P349" s="272" t="s">
        <v>1046</v>
      </c>
    </row>
    <row r="350" spans="1:16" x14ac:dyDescent="0.25">
      <c r="A350" s="270" t="s">
        <v>411</v>
      </c>
      <c r="B350" s="31" t="s">
        <v>410</v>
      </c>
      <c r="C350" s="31" t="s">
        <v>418</v>
      </c>
      <c r="D350" s="31" t="s">
        <v>433</v>
      </c>
      <c r="E350" s="31" t="s">
        <v>189</v>
      </c>
      <c r="F350" s="274" t="s">
        <v>379</v>
      </c>
      <c r="G350" s="33" t="s">
        <v>929</v>
      </c>
      <c r="H350" s="33" t="s">
        <v>602</v>
      </c>
      <c r="I350" s="36" t="s">
        <v>555</v>
      </c>
      <c r="J350" s="36" t="s">
        <v>875</v>
      </c>
      <c r="K350" s="36" t="s">
        <v>573</v>
      </c>
      <c r="L350" s="37">
        <v>43249.5</v>
      </c>
      <c r="M350" s="271">
        <v>43500</v>
      </c>
      <c r="N350" s="34" t="s">
        <v>929</v>
      </c>
      <c r="O350" s="34" t="s">
        <v>573</v>
      </c>
      <c r="P350" s="272" t="s">
        <v>954</v>
      </c>
    </row>
    <row r="351" spans="1:16" x14ac:dyDescent="0.25">
      <c r="A351" s="270" t="s">
        <v>411</v>
      </c>
      <c r="B351" s="31" t="s">
        <v>410</v>
      </c>
      <c r="C351" s="31" t="s">
        <v>418</v>
      </c>
      <c r="D351" s="31" t="s">
        <v>433</v>
      </c>
      <c r="E351" s="31" t="s">
        <v>189</v>
      </c>
      <c r="F351" s="274" t="s">
        <v>379</v>
      </c>
      <c r="G351" s="33" t="s">
        <v>929</v>
      </c>
      <c r="H351" s="33" t="s">
        <v>602</v>
      </c>
      <c r="I351" s="36" t="s">
        <v>555</v>
      </c>
      <c r="J351" s="36" t="s">
        <v>875</v>
      </c>
      <c r="K351" s="36" t="s">
        <v>950</v>
      </c>
      <c r="L351" s="37">
        <v>60068.75</v>
      </c>
      <c r="M351" s="271">
        <v>60500</v>
      </c>
      <c r="N351" s="34" t="s">
        <v>929</v>
      </c>
      <c r="O351" s="34" t="s">
        <v>950</v>
      </c>
      <c r="P351" s="272" t="s">
        <v>955</v>
      </c>
    </row>
    <row r="352" spans="1:16" x14ac:dyDescent="0.25">
      <c r="A352" s="270" t="s">
        <v>411</v>
      </c>
      <c r="B352" s="31" t="s">
        <v>410</v>
      </c>
      <c r="C352" s="31" t="s">
        <v>418</v>
      </c>
      <c r="D352" s="31" t="s">
        <v>433</v>
      </c>
      <c r="E352" s="31" t="s">
        <v>189</v>
      </c>
      <c r="F352" s="274" t="s">
        <v>379</v>
      </c>
      <c r="G352" s="33" t="s">
        <v>513</v>
      </c>
      <c r="H352" s="33" t="s">
        <v>603</v>
      </c>
      <c r="I352" s="36" t="s">
        <v>555</v>
      </c>
      <c r="J352" s="36" t="s">
        <v>875</v>
      </c>
      <c r="K352" s="36" t="s">
        <v>904</v>
      </c>
      <c r="L352" s="37">
        <v>16819.25</v>
      </c>
      <c r="M352" s="271">
        <v>16900</v>
      </c>
      <c r="N352" s="34"/>
      <c r="O352" s="34" t="s">
        <v>513</v>
      </c>
      <c r="P352" s="272" t="s">
        <v>1050</v>
      </c>
    </row>
    <row r="353" spans="1:16" x14ac:dyDescent="0.25">
      <c r="A353" s="270" t="s">
        <v>411</v>
      </c>
      <c r="B353" s="31" t="s">
        <v>410</v>
      </c>
      <c r="C353" s="31" t="s">
        <v>418</v>
      </c>
      <c r="D353" s="31" t="s">
        <v>433</v>
      </c>
      <c r="E353" s="31" t="s">
        <v>189</v>
      </c>
      <c r="F353" s="274" t="s">
        <v>379</v>
      </c>
      <c r="G353" s="33" t="s">
        <v>968</v>
      </c>
      <c r="H353" s="33" t="s">
        <v>603</v>
      </c>
      <c r="I353" s="36" t="s">
        <v>555</v>
      </c>
      <c r="J353" s="36" t="s">
        <v>875</v>
      </c>
      <c r="K353" s="36" t="s">
        <v>904</v>
      </c>
      <c r="L353" s="37">
        <v>58867.38</v>
      </c>
      <c r="M353" s="271">
        <v>59000</v>
      </c>
      <c r="N353" s="34"/>
      <c r="O353" s="34"/>
      <c r="P353" s="272" t="s">
        <v>1040</v>
      </c>
    </row>
    <row r="354" spans="1:16" x14ac:dyDescent="0.25">
      <c r="A354" s="270" t="s">
        <v>411</v>
      </c>
      <c r="B354" s="31" t="s">
        <v>410</v>
      </c>
      <c r="C354" s="31" t="s">
        <v>418</v>
      </c>
      <c r="D354" s="31" t="s">
        <v>433</v>
      </c>
      <c r="E354" s="31" t="s">
        <v>189</v>
      </c>
      <c r="F354" s="274" t="s">
        <v>379</v>
      </c>
      <c r="G354" s="33" t="s">
        <v>968</v>
      </c>
      <c r="H354" s="33" t="s">
        <v>603</v>
      </c>
      <c r="I354" s="36" t="s">
        <v>555</v>
      </c>
      <c r="J354" s="36" t="s">
        <v>875</v>
      </c>
      <c r="K354" s="36" t="s">
        <v>904</v>
      </c>
      <c r="L354" s="37">
        <v>38684.28</v>
      </c>
      <c r="M354" s="271">
        <v>40000</v>
      </c>
      <c r="N354" s="34"/>
      <c r="O354" s="34"/>
      <c r="P354" s="272" t="s">
        <v>1041</v>
      </c>
    </row>
    <row r="355" spans="1:16" x14ac:dyDescent="0.25">
      <c r="A355" s="270" t="s">
        <v>411</v>
      </c>
      <c r="B355" s="31" t="s">
        <v>410</v>
      </c>
      <c r="C355" s="31" t="s">
        <v>418</v>
      </c>
      <c r="D355" s="31" t="s">
        <v>433</v>
      </c>
      <c r="E355" s="31" t="s">
        <v>189</v>
      </c>
      <c r="F355" s="274" t="s">
        <v>379</v>
      </c>
      <c r="G355" s="33" t="s">
        <v>527</v>
      </c>
      <c r="H355" s="33" t="s">
        <v>603</v>
      </c>
      <c r="I355" s="36" t="s">
        <v>555</v>
      </c>
      <c r="J355" s="36" t="s">
        <v>875</v>
      </c>
      <c r="K355" s="36" t="s">
        <v>518</v>
      </c>
      <c r="L355" s="37">
        <v>311876.95</v>
      </c>
      <c r="M355" s="271">
        <v>315000</v>
      </c>
      <c r="N355" s="34" t="s">
        <v>973</v>
      </c>
      <c r="O355" s="34" t="s">
        <v>974</v>
      </c>
      <c r="P355" s="272" t="s">
        <v>976</v>
      </c>
    </row>
    <row r="356" spans="1:16" x14ac:dyDescent="0.25">
      <c r="A356" s="270" t="s">
        <v>411</v>
      </c>
      <c r="B356" s="31" t="s">
        <v>410</v>
      </c>
      <c r="C356" s="31" t="s">
        <v>418</v>
      </c>
      <c r="D356" s="31" t="s">
        <v>433</v>
      </c>
      <c r="E356" s="31" t="s">
        <v>190</v>
      </c>
      <c r="F356" s="35" t="s">
        <v>380</v>
      </c>
      <c r="G356" s="33" t="s">
        <v>929</v>
      </c>
      <c r="H356" s="33" t="s">
        <v>602</v>
      </c>
      <c r="I356" s="36" t="s">
        <v>552</v>
      </c>
      <c r="J356" s="36" t="s">
        <v>591</v>
      </c>
      <c r="K356" s="36" t="s">
        <v>948</v>
      </c>
      <c r="L356" s="37">
        <v>67268.25</v>
      </c>
      <c r="M356" s="271">
        <v>67500</v>
      </c>
      <c r="N356" s="34" t="s">
        <v>929</v>
      </c>
      <c r="O356" s="34" t="s">
        <v>948</v>
      </c>
      <c r="P356" s="272" t="s">
        <v>951</v>
      </c>
    </row>
    <row r="357" spans="1:16" x14ac:dyDescent="0.25">
      <c r="A357" s="270" t="s">
        <v>411</v>
      </c>
      <c r="B357" s="31" t="s">
        <v>410</v>
      </c>
      <c r="C357" s="31" t="s">
        <v>418</v>
      </c>
      <c r="D357" s="31" t="s">
        <v>433</v>
      </c>
      <c r="E357" s="31" t="s">
        <v>190</v>
      </c>
      <c r="F357" s="35" t="s">
        <v>380</v>
      </c>
      <c r="G357" s="33" t="s">
        <v>929</v>
      </c>
      <c r="H357" s="33" t="s">
        <v>602</v>
      </c>
      <c r="I357" s="36" t="s">
        <v>552</v>
      </c>
      <c r="J357" s="36" t="s">
        <v>591</v>
      </c>
      <c r="K357" s="36" t="s">
        <v>572</v>
      </c>
      <c r="L357" s="37">
        <v>67268.25</v>
      </c>
      <c r="M357" s="271">
        <v>67500</v>
      </c>
      <c r="N357" s="34" t="s">
        <v>929</v>
      </c>
      <c r="O357" s="34" t="s">
        <v>572</v>
      </c>
      <c r="P357" s="272" t="s">
        <v>952</v>
      </c>
    </row>
    <row r="358" spans="1:16" x14ac:dyDescent="0.25">
      <c r="A358" s="270" t="s">
        <v>411</v>
      </c>
      <c r="B358" s="31" t="s">
        <v>410</v>
      </c>
      <c r="C358" s="31" t="s">
        <v>418</v>
      </c>
      <c r="D358" s="31" t="s">
        <v>433</v>
      </c>
      <c r="E358" s="31" t="s">
        <v>190</v>
      </c>
      <c r="F358" s="274" t="s">
        <v>380</v>
      </c>
      <c r="G358" s="33" t="s">
        <v>506</v>
      </c>
      <c r="H358" s="33" t="s">
        <v>603</v>
      </c>
      <c r="I358" s="36" t="s">
        <v>552</v>
      </c>
      <c r="J358" s="36" t="s">
        <v>580</v>
      </c>
      <c r="K358" s="36" t="s">
        <v>1056</v>
      </c>
      <c r="L358" s="37">
        <v>69510.53</v>
      </c>
      <c r="M358" s="271">
        <v>70000</v>
      </c>
      <c r="N358" s="34"/>
      <c r="O358" s="34" t="s">
        <v>1057</v>
      </c>
      <c r="P358" s="272" t="s">
        <v>1128</v>
      </c>
    </row>
    <row r="359" spans="1:16" x14ac:dyDescent="0.25">
      <c r="A359" s="270" t="s">
        <v>411</v>
      </c>
      <c r="B359" s="31" t="s">
        <v>410</v>
      </c>
      <c r="C359" s="31" t="s">
        <v>418</v>
      </c>
      <c r="D359" s="31" t="s">
        <v>433</v>
      </c>
      <c r="E359" s="31" t="s">
        <v>190</v>
      </c>
      <c r="F359" s="274" t="s">
        <v>380</v>
      </c>
      <c r="G359" s="33" t="s">
        <v>505</v>
      </c>
      <c r="H359" s="33" t="s">
        <v>603</v>
      </c>
      <c r="I359" s="36" t="s">
        <v>552</v>
      </c>
      <c r="J359" s="36" t="s">
        <v>580</v>
      </c>
      <c r="K359" s="36" t="s">
        <v>1056</v>
      </c>
      <c r="L359" s="37">
        <v>46447.13</v>
      </c>
      <c r="M359" s="271">
        <v>46500</v>
      </c>
      <c r="N359" s="34"/>
      <c r="O359" s="34" t="s">
        <v>1058</v>
      </c>
      <c r="P359" s="272" t="s">
        <v>1127</v>
      </c>
    </row>
    <row r="360" spans="1:16" x14ac:dyDescent="0.25">
      <c r="A360" s="270" t="s">
        <v>411</v>
      </c>
      <c r="B360" s="31" t="s">
        <v>410</v>
      </c>
      <c r="C360" s="31" t="s">
        <v>418</v>
      </c>
      <c r="D360" s="31" t="s">
        <v>433</v>
      </c>
      <c r="E360" s="31" t="s">
        <v>190</v>
      </c>
      <c r="F360" s="274" t="s">
        <v>380</v>
      </c>
      <c r="G360" s="33" t="s">
        <v>507</v>
      </c>
      <c r="H360" s="33" t="s">
        <v>603</v>
      </c>
      <c r="I360" s="36" t="s">
        <v>552</v>
      </c>
      <c r="J360" s="36" t="s">
        <v>580</v>
      </c>
      <c r="K360" s="36" t="s">
        <v>1056</v>
      </c>
      <c r="L360" s="37">
        <v>43730.05</v>
      </c>
      <c r="M360" s="271">
        <v>43800</v>
      </c>
      <c r="N360" s="34"/>
      <c r="O360" s="34" t="s">
        <v>1055</v>
      </c>
      <c r="P360" s="272" t="s">
        <v>1054</v>
      </c>
    </row>
    <row r="361" spans="1:16" x14ac:dyDescent="0.25">
      <c r="A361" s="270" t="s">
        <v>411</v>
      </c>
      <c r="B361" s="31" t="s">
        <v>410</v>
      </c>
      <c r="C361" s="31" t="s">
        <v>418</v>
      </c>
      <c r="D361" s="31" t="s">
        <v>433</v>
      </c>
      <c r="E361" s="31" t="s">
        <v>190</v>
      </c>
      <c r="F361" s="274" t="s">
        <v>380</v>
      </c>
      <c r="G361" s="33" t="s">
        <v>1136</v>
      </c>
      <c r="H361" s="33" t="s">
        <v>603</v>
      </c>
      <c r="I361" s="36" t="s">
        <v>552</v>
      </c>
      <c r="J361" s="36" t="s">
        <v>580</v>
      </c>
      <c r="K361" s="36" t="s">
        <v>503</v>
      </c>
      <c r="L361" s="37">
        <f>(22422.75+33634.13)*2</f>
        <v>112113.76</v>
      </c>
      <c r="M361" s="271">
        <v>112150</v>
      </c>
      <c r="N361" s="34"/>
      <c r="O361" s="34" t="s">
        <v>1126</v>
      </c>
      <c r="P361" s="272" t="s">
        <v>1023</v>
      </c>
    </row>
    <row r="362" spans="1:16" x14ac:dyDescent="0.25">
      <c r="A362" s="270" t="s">
        <v>411</v>
      </c>
      <c r="B362" s="31" t="s">
        <v>410</v>
      </c>
      <c r="C362" s="31" t="s">
        <v>418</v>
      </c>
      <c r="D362" s="31" t="s">
        <v>433</v>
      </c>
      <c r="E362" s="31" t="s">
        <v>190</v>
      </c>
      <c r="F362" s="274" t="s">
        <v>380</v>
      </c>
      <c r="G362" s="33" t="s">
        <v>1136</v>
      </c>
      <c r="H362" s="33" t="s">
        <v>603</v>
      </c>
      <c r="I362" s="36" t="s">
        <v>552</v>
      </c>
      <c r="J362" s="36" t="s">
        <v>580</v>
      </c>
      <c r="K362" s="36" t="s">
        <v>503</v>
      </c>
      <c r="L362" s="37">
        <v>139661.70000000001</v>
      </c>
      <c r="M362" s="271">
        <v>140000</v>
      </c>
      <c r="N362" s="34"/>
      <c r="O362" s="34" t="s">
        <v>503</v>
      </c>
      <c r="P362" s="272" t="s">
        <v>1135</v>
      </c>
    </row>
    <row r="363" spans="1:16" x14ac:dyDescent="0.25">
      <c r="A363" s="270" t="s">
        <v>411</v>
      </c>
      <c r="B363" s="31" t="s">
        <v>410</v>
      </c>
      <c r="C363" s="31" t="s">
        <v>418</v>
      </c>
      <c r="D363" s="31" t="s">
        <v>433</v>
      </c>
      <c r="E363" s="31" t="s">
        <v>190</v>
      </c>
      <c r="F363" s="274" t="s">
        <v>380</v>
      </c>
      <c r="G363" s="33" t="s">
        <v>1130</v>
      </c>
      <c r="H363" s="33" t="s">
        <v>603</v>
      </c>
      <c r="I363" s="36" t="s">
        <v>552</v>
      </c>
      <c r="J363" s="36" t="s">
        <v>580</v>
      </c>
      <c r="K363" s="36" t="s">
        <v>504</v>
      </c>
      <c r="L363" s="37">
        <f>(22422.75+33634.13)*2</f>
        <v>112113.76</v>
      </c>
      <c r="M363" s="271">
        <v>112150</v>
      </c>
      <c r="N363" s="34"/>
      <c r="O363" s="34" t="s">
        <v>1126</v>
      </c>
      <c r="P363" s="272" t="s">
        <v>1023</v>
      </c>
    </row>
    <row r="364" spans="1:16" x14ac:dyDescent="0.25">
      <c r="A364" s="270" t="s">
        <v>411</v>
      </c>
      <c r="B364" s="31" t="s">
        <v>410</v>
      </c>
      <c r="C364" s="31" t="s">
        <v>418</v>
      </c>
      <c r="D364" s="31" t="s">
        <v>433</v>
      </c>
      <c r="E364" s="31" t="s">
        <v>190</v>
      </c>
      <c r="F364" s="274" t="s">
        <v>380</v>
      </c>
      <c r="G364" s="33" t="s">
        <v>1130</v>
      </c>
      <c r="H364" s="33" t="s">
        <v>603</v>
      </c>
      <c r="I364" s="36" t="s">
        <v>552</v>
      </c>
      <c r="J364" s="36" t="s">
        <v>580</v>
      </c>
      <c r="K364" s="36" t="s">
        <v>504</v>
      </c>
      <c r="L364" s="37">
        <v>104746.28</v>
      </c>
      <c r="M364" s="271">
        <v>104750</v>
      </c>
      <c r="N364" s="34"/>
      <c r="O364" s="34" t="s">
        <v>504</v>
      </c>
      <c r="P364" s="272" t="s">
        <v>1131</v>
      </c>
    </row>
    <row r="365" spans="1:16" x14ac:dyDescent="0.25">
      <c r="A365" s="270" t="s">
        <v>411</v>
      </c>
      <c r="B365" s="31" t="s">
        <v>410</v>
      </c>
      <c r="C365" s="31" t="s">
        <v>418</v>
      </c>
      <c r="D365" s="31" t="s">
        <v>433</v>
      </c>
      <c r="E365" s="31" t="s">
        <v>190</v>
      </c>
      <c r="F365" s="274" t="s">
        <v>380</v>
      </c>
      <c r="G365" s="33" t="s">
        <v>1130</v>
      </c>
      <c r="H365" s="33" t="s">
        <v>603</v>
      </c>
      <c r="I365" s="36" t="s">
        <v>552</v>
      </c>
      <c r="J365" s="36" t="s">
        <v>580</v>
      </c>
      <c r="K365" s="36" t="s">
        <v>505</v>
      </c>
      <c r="L365" s="37">
        <f>(22422.75+33634.13)*2</f>
        <v>112113.76</v>
      </c>
      <c r="M365" s="271">
        <v>112150</v>
      </c>
      <c r="N365" s="34"/>
      <c r="O365" s="34" t="s">
        <v>1126</v>
      </c>
      <c r="P365" s="272" t="s">
        <v>1023</v>
      </c>
    </row>
    <row r="366" spans="1:16" x14ac:dyDescent="0.25">
      <c r="A366" s="270" t="s">
        <v>411</v>
      </c>
      <c r="B366" s="31" t="s">
        <v>410</v>
      </c>
      <c r="C366" s="31" t="s">
        <v>418</v>
      </c>
      <c r="D366" s="31" t="s">
        <v>433</v>
      </c>
      <c r="E366" s="31" t="s">
        <v>190</v>
      </c>
      <c r="F366" s="274" t="s">
        <v>380</v>
      </c>
      <c r="G366" s="33" t="s">
        <v>1124</v>
      </c>
      <c r="H366" s="33" t="s">
        <v>603</v>
      </c>
      <c r="I366" s="36" t="s">
        <v>552</v>
      </c>
      <c r="J366" s="36" t="s">
        <v>580</v>
      </c>
      <c r="K366" s="36" t="s">
        <v>505</v>
      </c>
      <c r="L366" s="37">
        <v>104746.28</v>
      </c>
      <c r="M366" s="271">
        <v>104750</v>
      </c>
      <c r="N366" s="34"/>
      <c r="O366" s="34" t="s">
        <v>505</v>
      </c>
      <c r="P366" s="272" t="s">
        <v>1121</v>
      </c>
    </row>
    <row r="367" spans="1:16" x14ac:dyDescent="0.25">
      <c r="A367" s="270" t="s">
        <v>411</v>
      </c>
      <c r="B367" s="31" t="s">
        <v>410</v>
      </c>
      <c r="C367" s="31" t="s">
        <v>418</v>
      </c>
      <c r="D367" s="31" t="s">
        <v>433</v>
      </c>
      <c r="E367" s="31" t="s">
        <v>190</v>
      </c>
      <c r="F367" s="274" t="s">
        <v>380</v>
      </c>
      <c r="G367" s="33" t="s">
        <v>1137</v>
      </c>
      <c r="H367" s="33" t="s">
        <v>603</v>
      </c>
      <c r="I367" s="36" t="s">
        <v>552</v>
      </c>
      <c r="J367" s="36" t="s">
        <v>580</v>
      </c>
      <c r="K367" s="36" t="s">
        <v>506</v>
      </c>
      <c r="L367" s="37">
        <f>(22422.75+33634.13)*2</f>
        <v>112113.76</v>
      </c>
      <c r="M367" s="271">
        <v>112150</v>
      </c>
      <c r="N367" s="34"/>
      <c r="O367" s="34" t="s">
        <v>1126</v>
      </c>
      <c r="P367" s="272" t="s">
        <v>1023</v>
      </c>
    </row>
    <row r="368" spans="1:16" x14ac:dyDescent="0.25">
      <c r="A368" s="270" t="s">
        <v>411</v>
      </c>
      <c r="B368" s="31" t="s">
        <v>410</v>
      </c>
      <c r="C368" s="31" t="s">
        <v>418</v>
      </c>
      <c r="D368" s="31" t="s">
        <v>433</v>
      </c>
      <c r="E368" s="31" t="s">
        <v>190</v>
      </c>
      <c r="F368" s="274" t="s">
        <v>380</v>
      </c>
      <c r="G368" s="33" t="s">
        <v>1137</v>
      </c>
      <c r="H368" s="33" t="s">
        <v>603</v>
      </c>
      <c r="I368" s="36" t="s">
        <v>552</v>
      </c>
      <c r="J368" s="36" t="s">
        <v>580</v>
      </c>
      <c r="K368" s="36" t="s">
        <v>506</v>
      </c>
      <c r="L368" s="37">
        <v>139661.70000000001</v>
      </c>
      <c r="M368" s="271">
        <v>140000</v>
      </c>
      <c r="N368" s="34"/>
      <c r="O368" s="34" t="s">
        <v>506</v>
      </c>
      <c r="P368" s="272" t="s">
        <v>1134</v>
      </c>
    </row>
    <row r="369" spans="1:16" x14ac:dyDescent="0.25">
      <c r="A369" s="270" t="s">
        <v>411</v>
      </c>
      <c r="B369" s="31" t="s">
        <v>410</v>
      </c>
      <c r="C369" s="31" t="s">
        <v>418</v>
      </c>
      <c r="D369" s="31" t="s">
        <v>433</v>
      </c>
      <c r="E369" s="31" t="s">
        <v>190</v>
      </c>
      <c r="F369" s="274" t="s">
        <v>380</v>
      </c>
      <c r="G369" s="33" t="s">
        <v>1140</v>
      </c>
      <c r="H369" s="33" t="s">
        <v>603</v>
      </c>
      <c r="I369" s="36" t="s">
        <v>552</v>
      </c>
      <c r="J369" s="36" t="s">
        <v>580</v>
      </c>
      <c r="K369" s="36" t="s">
        <v>507</v>
      </c>
      <c r="L369" s="37">
        <f>(22422.75+33634.13)*2</f>
        <v>112113.76</v>
      </c>
      <c r="M369" s="271">
        <v>112150</v>
      </c>
      <c r="N369" s="34"/>
      <c r="O369" s="34" t="s">
        <v>1126</v>
      </c>
      <c r="P369" s="272" t="s">
        <v>1023</v>
      </c>
    </row>
    <row r="370" spans="1:16" x14ac:dyDescent="0.25">
      <c r="A370" s="270" t="s">
        <v>411</v>
      </c>
      <c r="B370" s="31" t="s">
        <v>410</v>
      </c>
      <c r="C370" s="31" t="s">
        <v>418</v>
      </c>
      <c r="D370" s="31" t="s">
        <v>433</v>
      </c>
      <c r="E370" s="31" t="s">
        <v>190</v>
      </c>
      <c r="F370" s="274" t="s">
        <v>380</v>
      </c>
      <c r="G370" s="33" t="s">
        <v>1140</v>
      </c>
      <c r="H370" s="33" t="s">
        <v>603</v>
      </c>
      <c r="I370" s="36" t="s">
        <v>552</v>
      </c>
      <c r="J370" s="36" t="s">
        <v>580</v>
      </c>
      <c r="K370" s="36" t="s">
        <v>507</v>
      </c>
      <c r="L370" s="37">
        <v>139661.70000000001</v>
      </c>
      <c r="M370" s="271">
        <v>140000</v>
      </c>
      <c r="N370" s="34"/>
      <c r="O370" s="34" t="s">
        <v>507</v>
      </c>
      <c r="P370" s="272" t="s">
        <v>1138</v>
      </c>
    </row>
    <row r="371" spans="1:16" x14ac:dyDescent="0.25">
      <c r="A371" s="270" t="s">
        <v>411</v>
      </c>
      <c r="B371" s="31" t="s">
        <v>410</v>
      </c>
      <c r="C371" s="31" t="s">
        <v>418</v>
      </c>
      <c r="D371" s="31" t="s">
        <v>433</v>
      </c>
      <c r="E371" s="31" t="s">
        <v>190</v>
      </c>
      <c r="F371" s="274" t="s">
        <v>380</v>
      </c>
      <c r="G371" s="33" t="s">
        <v>1154</v>
      </c>
      <c r="H371" s="33" t="s">
        <v>603</v>
      </c>
      <c r="I371" s="36" t="s">
        <v>552</v>
      </c>
      <c r="J371" s="36" t="s">
        <v>580</v>
      </c>
      <c r="K371" s="36" t="s">
        <v>502</v>
      </c>
      <c r="L371" s="37">
        <v>902355.53</v>
      </c>
      <c r="M371" s="271">
        <v>902400</v>
      </c>
      <c r="N371" s="34"/>
      <c r="O371" s="34" t="s">
        <v>502</v>
      </c>
      <c r="P371" s="272" t="s">
        <v>1156</v>
      </c>
    </row>
    <row r="372" spans="1:16" x14ac:dyDescent="0.25">
      <c r="A372" s="270" t="s">
        <v>411</v>
      </c>
      <c r="B372" s="31" t="s">
        <v>410</v>
      </c>
      <c r="C372" s="31" t="s">
        <v>418</v>
      </c>
      <c r="D372" s="31" t="s">
        <v>433</v>
      </c>
      <c r="E372" s="31" t="s">
        <v>190</v>
      </c>
      <c r="F372" s="35" t="s">
        <v>380</v>
      </c>
      <c r="G372" s="33" t="s">
        <v>1151</v>
      </c>
      <c r="H372" s="33" t="s">
        <v>603</v>
      </c>
      <c r="I372" s="36" t="s">
        <v>553</v>
      </c>
      <c r="J372" s="36" t="s">
        <v>581</v>
      </c>
      <c r="K372" s="36" t="s">
        <v>516</v>
      </c>
      <c r="L372" s="37">
        <v>38439</v>
      </c>
      <c r="M372" s="271">
        <v>38500</v>
      </c>
      <c r="N372" s="34"/>
      <c r="O372" s="34" t="s">
        <v>516</v>
      </c>
      <c r="P372" s="272" t="s">
        <v>1150</v>
      </c>
    </row>
    <row r="373" spans="1:16" x14ac:dyDescent="0.25">
      <c r="A373" s="270" t="s">
        <v>411</v>
      </c>
      <c r="B373" s="31" t="s">
        <v>410</v>
      </c>
      <c r="C373" s="31" t="s">
        <v>418</v>
      </c>
      <c r="D373" s="31" t="s">
        <v>433</v>
      </c>
      <c r="E373" s="31" t="s">
        <v>190</v>
      </c>
      <c r="F373" s="35" t="s">
        <v>380</v>
      </c>
      <c r="G373" s="33" t="s">
        <v>512</v>
      </c>
      <c r="H373" s="33" t="s">
        <v>603</v>
      </c>
      <c r="I373" s="36" t="s">
        <v>555</v>
      </c>
      <c r="J373" s="36" t="s">
        <v>578</v>
      </c>
      <c r="K373" s="36" t="s">
        <v>511</v>
      </c>
      <c r="L373" s="37">
        <v>123325.13</v>
      </c>
      <c r="M373" s="271">
        <v>123500</v>
      </c>
      <c r="N373" s="34"/>
      <c r="O373" s="34" t="s">
        <v>1167</v>
      </c>
      <c r="P373" s="272" t="s">
        <v>966</v>
      </c>
    </row>
    <row r="374" spans="1:16" x14ac:dyDescent="0.25">
      <c r="A374" s="270" t="s">
        <v>411</v>
      </c>
      <c r="B374" s="31" t="s">
        <v>410</v>
      </c>
      <c r="C374" s="31" t="s">
        <v>418</v>
      </c>
      <c r="D374" s="31" t="s">
        <v>433</v>
      </c>
      <c r="E374" s="31" t="s">
        <v>190</v>
      </c>
      <c r="F374" s="35" t="s">
        <v>380</v>
      </c>
      <c r="G374" s="33" t="s">
        <v>498</v>
      </c>
      <c r="H374" s="33" t="s">
        <v>603</v>
      </c>
      <c r="I374" s="36" t="s">
        <v>555</v>
      </c>
      <c r="J374" s="36" t="s">
        <v>579</v>
      </c>
      <c r="K374" s="36" t="s">
        <v>587</v>
      </c>
      <c r="L374" s="37">
        <v>33634.129999999997</v>
      </c>
      <c r="M374" s="271">
        <v>34000</v>
      </c>
      <c r="N374" s="34"/>
      <c r="O374" s="34"/>
      <c r="P374" s="272" t="s">
        <v>1002</v>
      </c>
    </row>
    <row r="375" spans="1:16" x14ac:dyDescent="0.25">
      <c r="A375" s="270" t="s">
        <v>411</v>
      </c>
      <c r="B375" s="31" t="s">
        <v>410</v>
      </c>
      <c r="C375" s="31" t="s">
        <v>418</v>
      </c>
      <c r="D375" s="31" t="s">
        <v>433</v>
      </c>
      <c r="E375" s="31" t="s">
        <v>190</v>
      </c>
      <c r="F375" s="274" t="s">
        <v>380</v>
      </c>
      <c r="G375" s="33" t="s">
        <v>501</v>
      </c>
      <c r="H375" s="33" t="s">
        <v>603</v>
      </c>
      <c r="I375" s="36" t="s">
        <v>555</v>
      </c>
      <c r="J375" s="36" t="s">
        <v>577</v>
      </c>
      <c r="K375" s="36" t="s">
        <v>1059</v>
      </c>
      <c r="L375" s="37">
        <v>242165.7</v>
      </c>
      <c r="M375" s="271">
        <v>242200</v>
      </c>
      <c r="N375" s="34"/>
      <c r="O375" s="34" t="s">
        <v>1061</v>
      </c>
      <c r="P375" s="272" t="s">
        <v>1060</v>
      </c>
    </row>
    <row r="376" spans="1:16" x14ac:dyDescent="0.25">
      <c r="A376" s="270" t="s">
        <v>411</v>
      </c>
      <c r="B376" s="31" t="s">
        <v>410</v>
      </c>
      <c r="C376" s="31" t="s">
        <v>418</v>
      </c>
      <c r="D376" s="31" t="s">
        <v>433</v>
      </c>
      <c r="E376" s="31" t="s">
        <v>190</v>
      </c>
      <c r="F376" s="274" t="s">
        <v>380</v>
      </c>
      <c r="G376" s="33" t="s">
        <v>1082</v>
      </c>
      <c r="H376" s="33" t="s">
        <v>603</v>
      </c>
      <c r="I376" s="36" t="s">
        <v>555</v>
      </c>
      <c r="J376" s="36" t="s">
        <v>577</v>
      </c>
      <c r="K376" s="36" t="s">
        <v>1059</v>
      </c>
      <c r="L376" s="37">
        <v>46126.8</v>
      </c>
      <c r="M376" s="271">
        <v>46200</v>
      </c>
      <c r="N376" s="34"/>
      <c r="O376" s="34" t="s">
        <v>1083</v>
      </c>
      <c r="P376" s="272" t="s">
        <v>1086</v>
      </c>
    </row>
    <row r="377" spans="1:16" x14ac:dyDescent="0.25">
      <c r="A377" s="270" t="s">
        <v>411</v>
      </c>
      <c r="B377" s="31" t="s">
        <v>410</v>
      </c>
      <c r="C377" s="31" t="s">
        <v>418</v>
      </c>
      <c r="D377" s="31" t="s">
        <v>433</v>
      </c>
      <c r="E377" s="31" t="s">
        <v>190</v>
      </c>
      <c r="F377" s="274" t="s">
        <v>380</v>
      </c>
      <c r="G377" s="33" t="s">
        <v>1067</v>
      </c>
      <c r="H377" s="33" t="s">
        <v>603</v>
      </c>
      <c r="I377" s="36" t="s">
        <v>555</v>
      </c>
      <c r="J377" s="36" t="s">
        <v>577</v>
      </c>
      <c r="K377" s="36" t="s">
        <v>589</v>
      </c>
      <c r="L377" s="37">
        <v>3430680.75</v>
      </c>
      <c r="M377" s="271">
        <v>3430700</v>
      </c>
      <c r="N377" s="34"/>
      <c r="O377" s="34" t="s">
        <v>1076</v>
      </c>
      <c r="P377" s="272" t="s">
        <v>1074</v>
      </c>
    </row>
    <row r="378" spans="1:16" x14ac:dyDescent="0.25">
      <c r="A378" s="270" t="s">
        <v>411</v>
      </c>
      <c r="B378" s="31" t="s">
        <v>410</v>
      </c>
      <c r="C378" s="31" t="s">
        <v>418</v>
      </c>
      <c r="D378" s="31" t="s">
        <v>433</v>
      </c>
      <c r="E378" s="31" t="s">
        <v>190</v>
      </c>
      <c r="F378" s="35" t="s">
        <v>380</v>
      </c>
      <c r="G378" s="33" t="s">
        <v>1158</v>
      </c>
      <c r="H378" s="33" t="s">
        <v>603</v>
      </c>
      <c r="I378" s="36" t="s">
        <v>555</v>
      </c>
      <c r="J378" s="36" t="s">
        <v>577</v>
      </c>
      <c r="K378" s="36" t="s">
        <v>532</v>
      </c>
      <c r="L378" s="37">
        <v>246650.25</v>
      </c>
      <c r="M378" s="271">
        <v>246700</v>
      </c>
      <c r="N378" s="34"/>
      <c r="O378" s="34" t="s">
        <v>532</v>
      </c>
      <c r="P378" s="272" t="s">
        <v>1159</v>
      </c>
    </row>
    <row r="379" spans="1:16" x14ac:dyDescent="0.25">
      <c r="A379" s="270" t="s">
        <v>411</v>
      </c>
      <c r="B379" s="31" t="s">
        <v>410</v>
      </c>
      <c r="C379" s="31" t="s">
        <v>418</v>
      </c>
      <c r="D379" s="31" t="s">
        <v>433</v>
      </c>
      <c r="E379" s="31" t="s">
        <v>190</v>
      </c>
      <c r="F379" s="274" t="s">
        <v>380</v>
      </c>
      <c r="G379" s="33" t="s">
        <v>1077</v>
      </c>
      <c r="H379" s="33" t="s">
        <v>603</v>
      </c>
      <c r="I379" s="36" t="s">
        <v>555</v>
      </c>
      <c r="J379" s="36" t="s">
        <v>577</v>
      </c>
      <c r="K379" s="36" t="s">
        <v>509</v>
      </c>
      <c r="L379" s="37">
        <v>9826.9</v>
      </c>
      <c r="M379" s="271">
        <v>10000</v>
      </c>
      <c r="N379" s="34"/>
      <c r="O379" s="34" t="s">
        <v>1078</v>
      </c>
      <c r="P379" s="272" t="s">
        <v>1080</v>
      </c>
    </row>
    <row r="380" spans="1:16" x14ac:dyDescent="0.25">
      <c r="A380" s="270" t="s">
        <v>411</v>
      </c>
      <c r="B380" s="31" t="s">
        <v>410</v>
      </c>
      <c r="C380" s="31" t="s">
        <v>418</v>
      </c>
      <c r="D380" s="31" t="s">
        <v>433</v>
      </c>
      <c r="E380" s="31" t="s">
        <v>190</v>
      </c>
      <c r="F380" s="274" t="s">
        <v>380</v>
      </c>
      <c r="G380" s="33" t="s">
        <v>1146</v>
      </c>
      <c r="H380" s="33" t="s">
        <v>603</v>
      </c>
      <c r="I380" s="36" t="s">
        <v>555</v>
      </c>
      <c r="J380" s="36" t="s">
        <v>577</v>
      </c>
      <c r="K380" s="36" t="s">
        <v>501</v>
      </c>
      <c r="L380" s="37">
        <v>224227.5</v>
      </c>
      <c r="M380" s="271">
        <v>224300</v>
      </c>
      <c r="N380" s="34"/>
      <c r="O380" s="34" t="s">
        <v>501</v>
      </c>
      <c r="P380" s="272" t="s">
        <v>1141</v>
      </c>
    </row>
    <row r="381" spans="1:16" x14ac:dyDescent="0.25">
      <c r="A381" s="270" t="s">
        <v>411</v>
      </c>
      <c r="B381" s="31" t="s">
        <v>410</v>
      </c>
      <c r="C381" s="31" t="s">
        <v>418</v>
      </c>
      <c r="D381" s="31" t="s">
        <v>433</v>
      </c>
      <c r="E381" s="31" t="s">
        <v>190</v>
      </c>
      <c r="F381" s="274" t="s">
        <v>380</v>
      </c>
      <c r="G381" s="33" t="s">
        <v>1068</v>
      </c>
      <c r="H381" s="33" t="s">
        <v>603</v>
      </c>
      <c r="I381" s="36" t="s">
        <v>555</v>
      </c>
      <c r="J381" s="36" t="s">
        <v>577</v>
      </c>
      <c r="K381" s="36" t="s">
        <v>510</v>
      </c>
      <c r="L381" s="37">
        <v>674604.45</v>
      </c>
      <c r="M381" s="271">
        <v>674700</v>
      </c>
      <c r="N381" s="34"/>
      <c r="O381" s="34" t="s">
        <v>1070</v>
      </c>
      <c r="P381" s="272" t="s">
        <v>1071</v>
      </c>
    </row>
    <row r="382" spans="1:16" x14ac:dyDescent="0.25">
      <c r="A382" s="270" t="s">
        <v>411</v>
      </c>
      <c r="B382" s="31" t="s">
        <v>410</v>
      </c>
      <c r="C382" s="31" t="s">
        <v>418</v>
      </c>
      <c r="D382" s="31" t="s">
        <v>433</v>
      </c>
      <c r="E382" s="31" t="s">
        <v>190</v>
      </c>
      <c r="F382" s="274" t="s">
        <v>380</v>
      </c>
      <c r="G382" s="33" t="s">
        <v>1066</v>
      </c>
      <c r="H382" s="33" t="s">
        <v>603</v>
      </c>
      <c r="I382" s="36" t="s">
        <v>555</v>
      </c>
      <c r="J382" s="36" t="s">
        <v>577</v>
      </c>
      <c r="K382" s="36" t="s">
        <v>996</v>
      </c>
      <c r="L382" s="37">
        <v>918216.68</v>
      </c>
      <c r="M382" s="271">
        <v>918300</v>
      </c>
      <c r="N382" s="34"/>
      <c r="O382" s="34" t="s">
        <v>1063</v>
      </c>
      <c r="P382" s="272" t="s">
        <v>1065</v>
      </c>
    </row>
    <row r="383" spans="1:16" x14ac:dyDescent="0.25">
      <c r="A383" s="270" t="s">
        <v>411</v>
      </c>
      <c r="B383" s="31" t="s">
        <v>410</v>
      </c>
      <c r="C383" s="31" t="s">
        <v>418</v>
      </c>
      <c r="D383" s="31" t="s">
        <v>433</v>
      </c>
      <c r="E383" s="31" t="s">
        <v>190</v>
      </c>
      <c r="F383" s="35" t="s">
        <v>380</v>
      </c>
      <c r="G383" s="33" t="s">
        <v>554</v>
      </c>
      <c r="H383" s="33" t="s">
        <v>603</v>
      </c>
      <c r="I383" s="36" t="s">
        <v>555</v>
      </c>
      <c r="J383" s="36" t="s">
        <v>577</v>
      </c>
      <c r="K383" s="36" t="s">
        <v>554</v>
      </c>
      <c r="L383" s="37">
        <v>310715.25</v>
      </c>
      <c r="M383" s="271">
        <v>310000</v>
      </c>
      <c r="N383" s="34"/>
      <c r="O383" s="34" t="s">
        <v>554</v>
      </c>
      <c r="P383" s="272" t="s">
        <v>1193</v>
      </c>
    </row>
    <row r="384" spans="1:16" x14ac:dyDescent="0.25">
      <c r="A384" s="270" t="s">
        <v>411</v>
      </c>
      <c r="B384" s="31" t="s">
        <v>410</v>
      </c>
      <c r="C384" s="31" t="s">
        <v>418</v>
      </c>
      <c r="D384" s="31" t="s">
        <v>433</v>
      </c>
      <c r="E384" s="31" t="s">
        <v>190</v>
      </c>
      <c r="F384" s="35" t="s">
        <v>380</v>
      </c>
      <c r="G384" s="33" t="s">
        <v>1117</v>
      </c>
      <c r="H384" s="33" t="s">
        <v>603</v>
      </c>
      <c r="I384" s="36" t="s">
        <v>555</v>
      </c>
      <c r="J384" s="36" t="s">
        <v>578</v>
      </c>
      <c r="K384" s="36" t="s">
        <v>1118</v>
      </c>
      <c r="L384" s="37">
        <v>105386.93</v>
      </c>
      <c r="M384" s="271">
        <v>107000</v>
      </c>
      <c r="N384" s="34"/>
      <c r="O384" s="34" t="s">
        <v>1119</v>
      </c>
      <c r="P384" s="272" t="s">
        <v>1120</v>
      </c>
    </row>
    <row r="385" spans="1:16" x14ac:dyDescent="0.25">
      <c r="A385" s="270" t="s">
        <v>411</v>
      </c>
      <c r="B385" s="31" t="s">
        <v>410</v>
      </c>
      <c r="C385" s="31" t="s">
        <v>418</v>
      </c>
      <c r="D385" s="31" t="s">
        <v>433</v>
      </c>
      <c r="E385" s="31" t="s">
        <v>190</v>
      </c>
      <c r="F385" s="35" t="s">
        <v>380</v>
      </c>
      <c r="G385" s="33" t="s">
        <v>929</v>
      </c>
      <c r="H385" s="33" t="s">
        <v>602</v>
      </c>
      <c r="I385" s="36" t="s">
        <v>555</v>
      </c>
      <c r="J385" s="36" t="s">
        <v>578</v>
      </c>
      <c r="K385" s="36" t="s">
        <v>571</v>
      </c>
      <c r="L385" s="37">
        <v>121723.5</v>
      </c>
      <c r="M385" s="271">
        <v>121800</v>
      </c>
      <c r="N385" s="34" t="s">
        <v>929</v>
      </c>
      <c r="O385" s="34" t="s">
        <v>930</v>
      </c>
      <c r="P385" s="272" t="s">
        <v>928</v>
      </c>
    </row>
    <row r="386" spans="1:16" x14ac:dyDescent="0.25">
      <c r="A386" s="270" t="s">
        <v>411</v>
      </c>
      <c r="B386" s="31" t="s">
        <v>410</v>
      </c>
      <c r="C386" s="31" t="s">
        <v>418</v>
      </c>
      <c r="D386" s="31" t="s">
        <v>433</v>
      </c>
      <c r="E386" s="31" t="s">
        <v>190</v>
      </c>
      <c r="F386" s="35" t="s">
        <v>380</v>
      </c>
      <c r="G386" s="33" t="s">
        <v>929</v>
      </c>
      <c r="H386" s="33" t="s">
        <v>602</v>
      </c>
      <c r="I386" s="36" t="s">
        <v>555</v>
      </c>
      <c r="J386" s="36" t="s">
        <v>578</v>
      </c>
      <c r="K386" s="36" t="s">
        <v>571</v>
      </c>
      <c r="L386" s="37">
        <v>91292.63</v>
      </c>
      <c r="M386" s="271">
        <v>91500</v>
      </c>
      <c r="N386" s="34" t="s">
        <v>929</v>
      </c>
      <c r="O386" s="34" t="s">
        <v>933</v>
      </c>
      <c r="P386" s="272" t="s">
        <v>934</v>
      </c>
    </row>
    <row r="387" spans="1:16" x14ac:dyDescent="0.25">
      <c r="A387" s="270" t="s">
        <v>411</v>
      </c>
      <c r="B387" s="31" t="s">
        <v>410</v>
      </c>
      <c r="C387" s="31" t="s">
        <v>418</v>
      </c>
      <c r="D387" s="31" t="s">
        <v>433</v>
      </c>
      <c r="E387" s="31" t="s">
        <v>190</v>
      </c>
      <c r="F387" s="35" t="s">
        <v>380</v>
      </c>
      <c r="G387" s="33" t="s">
        <v>1112</v>
      </c>
      <c r="H387" s="33" t="s">
        <v>603</v>
      </c>
      <c r="I387" s="36" t="s">
        <v>555</v>
      </c>
      <c r="J387" s="36" t="s">
        <v>578</v>
      </c>
      <c r="K387" s="36" t="s">
        <v>1113</v>
      </c>
      <c r="L387" s="37">
        <v>6406.5</v>
      </c>
      <c r="M387" s="271">
        <v>6450</v>
      </c>
      <c r="N387" s="34"/>
      <c r="O387" s="34" t="s">
        <v>1114</v>
      </c>
      <c r="P387" s="272" t="s">
        <v>1116</v>
      </c>
    </row>
    <row r="388" spans="1:16" x14ac:dyDescent="0.25">
      <c r="A388" s="270" t="s">
        <v>411</v>
      </c>
      <c r="B388" s="31" t="s">
        <v>410</v>
      </c>
      <c r="C388" s="31" t="s">
        <v>418</v>
      </c>
      <c r="D388" s="31" t="s">
        <v>433</v>
      </c>
      <c r="E388" s="31" t="s">
        <v>190</v>
      </c>
      <c r="F388" s="35" t="s">
        <v>380</v>
      </c>
      <c r="G388" s="33" t="s">
        <v>1092</v>
      </c>
      <c r="H388" s="33" t="s">
        <v>603</v>
      </c>
      <c r="I388" s="36" t="s">
        <v>555</v>
      </c>
      <c r="J388" s="36" t="s">
        <v>875</v>
      </c>
      <c r="K388" s="36" t="s">
        <v>1093</v>
      </c>
      <c r="L388" s="37">
        <v>19219.5</v>
      </c>
      <c r="M388" s="271">
        <v>19250</v>
      </c>
      <c r="N388" s="34"/>
      <c r="O388" s="34" t="s">
        <v>1094</v>
      </c>
      <c r="P388" s="272" t="s">
        <v>1104</v>
      </c>
    </row>
    <row r="389" spans="1:16" x14ac:dyDescent="0.25">
      <c r="A389" s="270" t="s">
        <v>411</v>
      </c>
      <c r="B389" s="31" t="s">
        <v>410</v>
      </c>
      <c r="C389" s="31" t="s">
        <v>418</v>
      </c>
      <c r="D389" s="31" t="s">
        <v>433</v>
      </c>
      <c r="E389" s="31" t="s">
        <v>190</v>
      </c>
      <c r="F389" s="35" t="s">
        <v>380</v>
      </c>
      <c r="G389" s="33" t="s">
        <v>1107</v>
      </c>
      <c r="H389" s="33" t="s">
        <v>603</v>
      </c>
      <c r="I389" s="36" t="s">
        <v>555</v>
      </c>
      <c r="J389" s="36" t="s">
        <v>875</v>
      </c>
      <c r="K389" s="36" t="s">
        <v>1093</v>
      </c>
      <c r="L389" s="37">
        <v>2242.2800000000002</v>
      </c>
      <c r="M389" s="271">
        <v>2250</v>
      </c>
      <c r="N389" s="34"/>
      <c r="O389" s="34" t="s">
        <v>1108</v>
      </c>
      <c r="P389" s="272" t="s">
        <v>1110</v>
      </c>
    </row>
    <row r="390" spans="1:16" x14ac:dyDescent="0.25">
      <c r="A390" s="270" t="s">
        <v>1087</v>
      </c>
      <c r="B390" s="31" t="s">
        <v>410</v>
      </c>
      <c r="C390" s="31" t="s">
        <v>418</v>
      </c>
      <c r="D390" s="31" t="s">
        <v>433</v>
      </c>
      <c r="E390" s="31" t="s">
        <v>190</v>
      </c>
      <c r="F390" s="35" t="s">
        <v>380</v>
      </c>
      <c r="G390" s="33" t="s">
        <v>1092</v>
      </c>
      <c r="H390" s="33" t="s">
        <v>603</v>
      </c>
      <c r="I390" s="36" t="s">
        <v>555</v>
      </c>
      <c r="J390" s="36" t="s">
        <v>875</v>
      </c>
      <c r="K390" s="36" t="s">
        <v>1093</v>
      </c>
      <c r="L390" s="37">
        <v>161443.79999999999</v>
      </c>
      <c r="M390" s="271">
        <v>161500</v>
      </c>
      <c r="N390" s="34"/>
      <c r="O390" s="34" t="s">
        <v>1096</v>
      </c>
      <c r="P390" s="272" t="s">
        <v>1101</v>
      </c>
    </row>
    <row r="391" spans="1:16" x14ac:dyDescent="0.25">
      <c r="A391" s="270" t="s">
        <v>411</v>
      </c>
      <c r="B391" s="31" t="s">
        <v>410</v>
      </c>
      <c r="C391" s="31" t="s">
        <v>418</v>
      </c>
      <c r="D391" s="31" t="s">
        <v>433</v>
      </c>
      <c r="E391" s="31" t="s">
        <v>190</v>
      </c>
      <c r="F391" s="35" t="s">
        <v>380</v>
      </c>
      <c r="G391" s="33" t="s">
        <v>1092</v>
      </c>
      <c r="H391" s="33" t="s">
        <v>603</v>
      </c>
      <c r="I391" s="36" t="s">
        <v>555</v>
      </c>
      <c r="J391" s="36" t="s">
        <v>875</v>
      </c>
      <c r="K391" s="36" t="s">
        <v>1093</v>
      </c>
      <c r="L391" s="37">
        <v>91933.28</v>
      </c>
      <c r="M391" s="271">
        <v>92000</v>
      </c>
      <c r="N391" s="34"/>
      <c r="O391" s="34" t="s">
        <v>1099</v>
      </c>
      <c r="P391" s="272" t="s">
        <v>1100</v>
      </c>
    </row>
    <row r="392" spans="1:16" x14ac:dyDescent="0.25">
      <c r="A392" s="270" t="s">
        <v>411</v>
      </c>
      <c r="B392" s="31" t="s">
        <v>410</v>
      </c>
      <c r="C392" s="31" t="s">
        <v>418</v>
      </c>
      <c r="D392" s="31" t="s">
        <v>433</v>
      </c>
      <c r="E392" s="31" t="s">
        <v>190</v>
      </c>
      <c r="F392" s="35" t="s">
        <v>380</v>
      </c>
      <c r="G392" s="33" t="s">
        <v>1143</v>
      </c>
      <c r="H392" s="33" t="s">
        <v>603</v>
      </c>
      <c r="I392" s="36" t="s">
        <v>555</v>
      </c>
      <c r="J392" s="36" t="s">
        <v>875</v>
      </c>
      <c r="K392" s="36" t="s">
        <v>508</v>
      </c>
      <c r="L392" s="37">
        <v>134536.5</v>
      </c>
      <c r="M392" s="271">
        <v>134600</v>
      </c>
      <c r="N392" s="34"/>
      <c r="O392" s="34" t="s">
        <v>508</v>
      </c>
      <c r="P392" s="272" t="s">
        <v>1144</v>
      </c>
    </row>
    <row r="393" spans="1:16" x14ac:dyDescent="0.25">
      <c r="A393" s="270" t="s">
        <v>411</v>
      </c>
      <c r="B393" s="31" t="s">
        <v>410</v>
      </c>
      <c r="C393" s="31" t="s">
        <v>418</v>
      </c>
      <c r="D393" s="31" t="s">
        <v>433</v>
      </c>
      <c r="E393" s="31" t="s">
        <v>190</v>
      </c>
      <c r="F393" s="35" t="s">
        <v>380</v>
      </c>
      <c r="G393" s="33" t="s">
        <v>1166</v>
      </c>
      <c r="H393" s="33" t="s">
        <v>603</v>
      </c>
      <c r="I393" s="36" t="s">
        <v>555</v>
      </c>
      <c r="J393" s="36" t="s">
        <v>875</v>
      </c>
      <c r="K393" s="36" t="s">
        <v>519</v>
      </c>
      <c r="L393" s="37">
        <v>0</v>
      </c>
      <c r="M393" s="271">
        <v>0</v>
      </c>
      <c r="N393" s="34"/>
      <c r="O393" s="34" t="s">
        <v>1161</v>
      </c>
      <c r="P393" s="272" t="s">
        <v>1164</v>
      </c>
    </row>
    <row r="394" spans="1:16" x14ac:dyDescent="0.25">
      <c r="A394" s="270" t="s">
        <v>411</v>
      </c>
      <c r="B394" s="31" t="s">
        <v>410</v>
      </c>
      <c r="C394" s="31" t="s">
        <v>418</v>
      </c>
      <c r="D394" s="31" t="s">
        <v>433</v>
      </c>
      <c r="E394" s="31" t="s">
        <v>190</v>
      </c>
      <c r="F394" s="35" t="s">
        <v>380</v>
      </c>
      <c r="G394" s="33" t="s">
        <v>1147</v>
      </c>
      <c r="H394" s="33" t="s">
        <v>603</v>
      </c>
      <c r="I394" s="36" t="s">
        <v>555</v>
      </c>
      <c r="J394" s="36" t="s">
        <v>875</v>
      </c>
      <c r="K394" s="36" t="s">
        <v>517</v>
      </c>
      <c r="L394" s="37">
        <v>116918.63</v>
      </c>
      <c r="M394" s="271">
        <v>117000</v>
      </c>
      <c r="N394" s="34" t="s">
        <v>973</v>
      </c>
      <c r="O394" s="34" t="s">
        <v>1025</v>
      </c>
      <c r="P394" s="272" t="s">
        <v>1028</v>
      </c>
    </row>
    <row r="395" spans="1:16" x14ac:dyDescent="0.25">
      <c r="A395" s="270" t="s">
        <v>411</v>
      </c>
      <c r="B395" s="31" t="s">
        <v>410</v>
      </c>
      <c r="C395" s="31" t="s">
        <v>418</v>
      </c>
      <c r="D395" s="31" t="s">
        <v>433</v>
      </c>
      <c r="E395" s="31" t="s">
        <v>190</v>
      </c>
      <c r="F395" s="274" t="s">
        <v>380</v>
      </c>
      <c r="G395" s="33" t="s">
        <v>885</v>
      </c>
      <c r="H395" s="33" t="s">
        <v>603</v>
      </c>
      <c r="I395" s="36" t="s">
        <v>555</v>
      </c>
      <c r="J395" s="36" t="s">
        <v>875</v>
      </c>
      <c r="K395" s="36" t="s">
        <v>1195</v>
      </c>
      <c r="L395" s="37">
        <v>208725</v>
      </c>
      <c r="M395" s="271">
        <v>211000</v>
      </c>
      <c r="N395" s="34"/>
      <c r="O395" s="34" t="s">
        <v>1192</v>
      </c>
      <c r="P395" s="272" t="s">
        <v>1188</v>
      </c>
    </row>
    <row r="396" spans="1:16" x14ac:dyDescent="0.25">
      <c r="A396" s="270" t="s">
        <v>411</v>
      </c>
      <c r="B396" s="31" t="s">
        <v>410</v>
      </c>
      <c r="C396" s="31" t="s">
        <v>418</v>
      </c>
      <c r="D396" s="31" t="s">
        <v>433</v>
      </c>
      <c r="E396" s="31" t="s">
        <v>190</v>
      </c>
      <c r="F396" s="274" t="s">
        <v>380</v>
      </c>
      <c r="G396" s="33" t="s">
        <v>885</v>
      </c>
      <c r="H396" s="33" t="s">
        <v>603</v>
      </c>
      <c r="I396" s="36" t="s">
        <v>555</v>
      </c>
      <c r="J396" s="36" t="s">
        <v>875</v>
      </c>
      <c r="K396" s="36" t="s">
        <v>1194</v>
      </c>
      <c r="L396" s="37">
        <v>292215</v>
      </c>
      <c r="M396" s="271">
        <v>300000</v>
      </c>
      <c r="N396" s="34"/>
      <c r="O396" s="34" t="s">
        <v>1185</v>
      </c>
      <c r="P396" s="272" t="s">
        <v>1184</v>
      </c>
    </row>
    <row r="397" spans="1:16" x14ac:dyDescent="0.25">
      <c r="A397" s="270" t="s">
        <v>411</v>
      </c>
      <c r="B397" s="31" t="s">
        <v>410</v>
      </c>
      <c r="C397" s="31" t="s">
        <v>418</v>
      </c>
      <c r="D397" s="31" t="s">
        <v>433</v>
      </c>
      <c r="E397" s="31" t="s">
        <v>190</v>
      </c>
      <c r="F397" s="274" t="s">
        <v>380</v>
      </c>
      <c r="G397" s="33" t="s">
        <v>885</v>
      </c>
      <c r="H397" s="33" t="s">
        <v>603</v>
      </c>
      <c r="I397" s="36" t="s">
        <v>555</v>
      </c>
      <c r="J397" s="36" t="s">
        <v>875</v>
      </c>
      <c r="K397" s="36" t="s">
        <v>1196</v>
      </c>
      <c r="L397" s="37">
        <v>113850</v>
      </c>
      <c r="M397" s="271">
        <v>114000</v>
      </c>
      <c r="N397" s="34"/>
      <c r="O397" s="34" t="s">
        <v>1183</v>
      </c>
      <c r="P397" s="272" t="s">
        <v>1180</v>
      </c>
    </row>
    <row r="398" spans="1:16" x14ac:dyDescent="0.25">
      <c r="A398" s="270" t="s">
        <v>411</v>
      </c>
      <c r="B398" s="31" t="s">
        <v>410</v>
      </c>
      <c r="C398" s="31" t="s">
        <v>418</v>
      </c>
      <c r="D398" s="31" t="s">
        <v>433</v>
      </c>
      <c r="E398" s="31" t="s">
        <v>190</v>
      </c>
      <c r="F398" s="274" t="s">
        <v>380</v>
      </c>
      <c r="G398" s="33" t="s">
        <v>929</v>
      </c>
      <c r="H398" s="33" t="s">
        <v>602</v>
      </c>
      <c r="I398" s="36" t="s">
        <v>555</v>
      </c>
      <c r="J398" s="36" t="s">
        <v>875</v>
      </c>
      <c r="K398" s="36" t="s">
        <v>1194</v>
      </c>
      <c r="L398" s="37">
        <v>24024.38</v>
      </c>
      <c r="M398" s="271">
        <v>24500</v>
      </c>
      <c r="N398" s="34" t="s">
        <v>929</v>
      </c>
      <c r="O398" s="34" t="s">
        <v>1009</v>
      </c>
      <c r="P398" s="272" t="s">
        <v>1012</v>
      </c>
    </row>
    <row r="399" spans="1:16" x14ac:dyDescent="0.25">
      <c r="A399" s="270" t="s">
        <v>411</v>
      </c>
      <c r="B399" s="31" t="s">
        <v>410</v>
      </c>
      <c r="C399" s="31" t="s">
        <v>418</v>
      </c>
      <c r="D399" s="31" t="s">
        <v>433</v>
      </c>
      <c r="E399" s="31" t="s">
        <v>190</v>
      </c>
      <c r="F399" s="274" t="s">
        <v>380</v>
      </c>
      <c r="G399" s="33" t="s">
        <v>885</v>
      </c>
      <c r="H399" s="33" t="s">
        <v>603</v>
      </c>
      <c r="I399" s="36" t="s">
        <v>555</v>
      </c>
      <c r="J399" s="36" t="s">
        <v>875</v>
      </c>
      <c r="K399" s="36" t="s">
        <v>1196</v>
      </c>
      <c r="L399" s="37">
        <v>49335</v>
      </c>
      <c r="M399" s="271">
        <v>53000</v>
      </c>
      <c r="N399" s="34"/>
      <c r="O399" s="34" t="s">
        <v>1181</v>
      </c>
      <c r="P399" s="272" t="s">
        <v>1174</v>
      </c>
    </row>
    <row r="400" spans="1:16" x14ac:dyDescent="0.25">
      <c r="A400" s="270" t="s">
        <v>411</v>
      </c>
      <c r="B400" s="31" t="s">
        <v>410</v>
      </c>
      <c r="C400" s="31" t="s">
        <v>418</v>
      </c>
      <c r="D400" s="31" t="s">
        <v>433</v>
      </c>
      <c r="E400" s="31" t="s">
        <v>190</v>
      </c>
      <c r="F400" s="274" t="s">
        <v>380</v>
      </c>
      <c r="G400" s="33" t="s">
        <v>885</v>
      </c>
      <c r="H400" s="33" t="s">
        <v>603</v>
      </c>
      <c r="I400" s="36" t="s">
        <v>555</v>
      </c>
      <c r="J400" s="36" t="s">
        <v>875</v>
      </c>
      <c r="K400" s="36" t="s">
        <v>1196</v>
      </c>
      <c r="L400" s="37">
        <v>49335</v>
      </c>
      <c r="M400" s="271">
        <v>51500</v>
      </c>
      <c r="N400" s="34"/>
      <c r="O400" s="34" t="s">
        <v>1182</v>
      </c>
      <c r="P400" s="272" t="s">
        <v>1175</v>
      </c>
    </row>
    <row r="401" spans="1:16" x14ac:dyDescent="0.25">
      <c r="A401" s="270" t="s">
        <v>411</v>
      </c>
      <c r="B401" s="31" t="s">
        <v>410</v>
      </c>
      <c r="C401" s="31" t="s">
        <v>418</v>
      </c>
      <c r="D401" s="31" t="s">
        <v>433</v>
      </c>
      <c r="E401" s="31" t="s">
        <v>190</v>
      </c>
      <c r="F401" s="35" t="s">
        <v>380</v>
      </c>
      <c r="G401" s="33" t="s">
        <v>885</v>
      </c>
      <c r="H401" s="33" t="s">
        <v>603</v>
      </c>
      <c r="I401" s="36" t="s">
        <v>555</v>
      </c>
      <c r="J401" s="36" t="s">
        <v>875</v>
      </c>
      <c r="K401" s="36" t="s">
        <v>1045</v>
      </c>
      <c r="L401" s="37">
        <v>40360.949999999997</v>
      </c>
      <c r="M401" s="271">
        <v>40400</v>
      </c>
      <c r="N401" s="34"/>
      <c r="O401" s="34" t="s">
        <v>1047</v>
      </c>
      <c r="P401" s="272" t="s">
        <v>1046</v>
      </c>
    </row>
    <row r="402" spans="1:16" x14ac:dyDescent="0.25">
      <c r="A402" s="270" t="s">
        <v>411</v>
      </c>
      <c r="B402" s="31" t="s">
        <v>410</v>
      </c>
      <c r="C402" s="31" t="s">
        <v>418</v>
      </c>
      <c r="D402" s="31" t="s">
        <v>433</v>
      </c>
      <c r="E402" s="31" t="s">
        <v>190</v>
      </c>
      <c r="F402" s="35" t="s">
        <v>380</v>
      </c>
      <c r="G402" s="33" t="s">
        <v>929</v>
      </c>
      <c r="H402" s="33" t="s">
        <v>602</v>
      </c>
      <c r="I402" s="36" t="s">
        <v>555</v>
      </c>
      <c r="J402" s="36" t="s">
        <v>875</v>
      </c>
      <c r="K402" s="36" t="s">
        <v>573</v>
      </c>
      <c r="L402" s="37">
        <v>12813</v>
      </c>
      <c r="M402" s="271">
        <v>13000</v>
      </c>
      <c r="N402" s="34" t="s">
        <v>929</v>
      </c>
      <c r="O402" s="34" t="s">
        <v>573</v>
      </c>
      <c r="P402" s="272" t="s">
        <v>954</v>
      </c>
    </row>
    <row r="403" spans="1:16" x14ac:dyDescent="0.25">
      <c r="A403" s="270" t="s">
        <v>411</v>
      </c>
      <c r="B403" s="31" t="s">
        <v>410</v>
      </c>
      <c r="C403" s="31" t="s">
        <v>418</v>
      </c>
      <c r="D403" s="31" t="s">
        <v>433</v>
      </c>
      <c r="E403" s="31" t="s">
        <v>190</v>
      </c>
      <c r="F403" s="35" t="s">
        <v>380</v>
      </c>
      <c r="G403" s="33" t="s">
        <v>929</v>
      </c>
      <c r="H403" s="33" t="s">
        <v>602</v>
      </c>
      <c r="I403" s="36" t="s">
        <v>555</v>
      </c>
      <c r="J403" s="36" t="s">
        <v>875</v>
      </c>
      <c r="K403" s="36" t="s">
        <v>950</v>
      </c>
      <c r="L403" s="37">
        <v>83284.5</v>
      </c>
      <c r="M403" s="271">
        <v>83500</v>
      </c>
      <c r="N403" s="34" t="s">
        <v>929</v>
      </c>
      <c r="O403" s="34" t="s">
        <v>950</v>
      </c>
      <c r="P403" s="272" t="s">
        <v>955</v>
      </c>
    </row>
    <row r="404" spans="1:16" x14ac:dyDescent="0.25">
      <c r="A404" s="270" t="s">
        <v>411</v>
      </c>
      <c r="B404" s="31" t="s">
        <v>410</v>
      </c>
      <c r="C404" s="31" t="s">
        <v>418</v>
      </c>
      <c r="D404" s="31" t="s">
        <v>433</v>
      </c>
      <c r="E404" s="31" t="s">
        <v>190</v>
      </c>
      <c r="F404" s="35" t="s">
        <v>380</v>
      </c>
      <c r="G404" s="33" t="s">
        <v>513</v>
      </c>
      <c r="H404" s="33" t="s">
        <v>603</v>
      </c>
      <c r="I404" s="36" t="s">
        <v>555</v>
      </c>
      <c r="J404" s="36" t="s">
        <v>875</v>
      </c>
      <c r="K404" s="36" t="s">
        <v>904</v>
      </c>
      <c r="L404" s="37">
        <v>201804.75</v>
      </c>
      <c r="M404" s="271">
        <v>201900</v>
      </c>
      <c r="N404" s="34"/>
      <c r="O404" s="34" t="s">
        <v>1052</v>
      </c>
      <c r="P404" s="272" t="s">
        <v>1051</v>
      </c>
    </row>
    <row r="405" spans="1:16" x14ac:dyDescent="0.25">
      <c r="A405" s="270" t="s">
        <v>411</v>
      </c>
      <c r="B405" s="31" t="s">
        <v>410</v>
      </c>
      <c r="C405" s="31" t="s">
        <v>418</v>
      </c>
      <c r="D405" s="31" t="s">
        <v>433</v>
      </c>
      <c r="E405" s="31" t="s">
        <v>190</v>
      </c>
      <c r="F405" s="35" t="s">
        <v>380</v>
      </c>
      <c r="G405" s="33" t="s">
        <v>527</v>
      </c>
      <c r="H405" s="33" t="s">
        <v>603</v>
      </c>
      <c r="I405" s="36" t="s">
        <v>555</v>
      </c>
      <c r="J405" s="36" t="s">
        <v>875</v>
      </c>
      <c r="K405" s="36" t="s">
        <v>518</v>
      </c>
      <c r="L405" s="37">
        <v>4885121.4800000004</v>
      </c>
      <c r="M405" s="271">
        <v>4885000</v>
      </c>
      <c r="N405" s="34" t="s">
        <v>973</v>
      </c>
      <c r="O405" s="34" t="s">
        <v>974</v>
      </c>
      <c r="P405" s="272" t="s">
        <v>976</v>
      </c>
    </row>
    <row r="406" spans="1:16" x14ac:dyDescent="0.25">
      <c r="A406" s="270" t="s">
        <v>411</v>
      </c>
      <c r="B406" s="31" t="s">
        <v>410</v>
      </c>
      <c r="C406" s="31" t="s">
        <v>418</v>
      </c>
      <c r="D406" s="31" t="s">
        <v>433</v>
      </c>
      <c r="E406" s="31" t="s">
        <v>191</v>
      </c>
      <c r="F406" s="35" t="s">
        <v>381</v>
      </c>
      <c r="G406" s="33" t="s">
        <v>506</v>
      </c>
      <c r="H406" s="33" t="s">
        <v>603</v>
      </c>
      <c r="I406" s="36" t="s">
        <v>552</v>
      </c>
      <c r="J406" s="36" t="s">
        <v>580</v>
      </c>
      <c r="K406" s="36" t="s">
        <v>1056</v>
      </c>
      <c r="L406" s="37">
        <v>2402.75</v>
      </c>
      <c r="M406" s="271">
        <v>2500</v>
      </c>
      <c r="N406" s="34"/>
      <c r="O406" s="34" t="s">
        <v>1057</v>
      </c>
      <c r="P406" s="272" t="s">
        <v>1128</v>
      </c>
    </row>
    <row r="407" spans="1:16" x14ac:dyDescent="0.25">
      <c r="A407" s="270" t="s">
        <v>411</v>
      </c>
      <c r="B407" s="31" t="s">
        <v>410</v>
      </c>
      <c r="C407" s="31" t="s">
        <v>418</v>
      </c>
      <c r="D407" s="31" t="s">
        <v>433</v>
      </c>
      <c r="E407" s="31" t="s">
        <v>191</v>
      </c>
      <c r="F407" s="35" t="s">
        <v>381</v>
      </c>
      <c r="G407" s="33" t="s">
        <v>505</v>
      </c>
      <c r="H407" s="33" t="s">
        <v>603</v>
      </c>
      <c r="I407" s="36" t="s">
        <v>552</v>
      </c>
      <c r="J407" s="36" t="s">
        <v>580</v>
      </c>
      <c r="K407" s="36" t="s">
        <v>1056</v>
      </c>
      <c r="L407" s="37">
        <v>0</v>
      </c>
      <c r="M407" s="271">
        <v>0</v>
      </c>
      <c r="N407" s="34"/>
      <c r="O407" s="34" t="s">
        <v>1058</v>
      </c>
      <c r="P407" s="272" t="s">
        <v>1127</v>
      </c>
    </row>
    <row r="408" spans="1:16" x14ac:dyDescent="0.25">
      <c r="A408" s="270" t="s">
        <v>411</v>
      </c>
      <c r="B408" s="31" t="s">
        <v>410</v>
      </c>
      <c r="C408" s="31" t="s">
        <v>418</v>
      </c>
      <c r="D408" s="31" t="s">
        <v>433</v>
      </c>
      <c r="E408" s="31" t="s">
        <v>191</v>
      </c>
      <c r="F408" s="35" t="s">
        <v>381</v>
      </c>
      <c r="G408" s="33" t="s">
        <v>507</v>
      </c>
      <c r="H408" s="33" t="s">
        <v>603</v>
      </c>
      <c r="I408" s="36" t="s">
        <v>552</v>
      </c>
      <c r="J408" s="36" t="s">
        <v>580</v>
      </c>
      <c r="K408" s="36" t="s">
        <v>1056</v>
      </c>
      <c r="L408" s="37">
        <v>0</v>
      </c>
      <c r="M408" s="271">
        <v>0</v>
      </c>
      <c r="N408" s="34"/>
      <c r="O408" s="34" t="s">
        <v>1055</v>
      </c>
      <c r="P408" s="272" t="s">
        <v>1054</v>
      </c>
    </row>
    <row r="409" spans="1:16" x14ac:dyDescent="0.25">
      <c r="A409" s="270" t="s">
        <v>411</v>
      </c>
      <c r="B409" s="31" t="s">
        <v>410</v>
      </c>
      <c r="C409" s="31" t="s">
        <v>418</v>
      </c>
      <c r="D409" s="31" t="s">
        <v>433</v>
      </c>
      <c r="E409" s="31" t="s">
        <v>191</v>
      </c>
      <c r="F409" s="35" t="s">
        <v>381</v>
      </c>
      <c r="G409" s="33" t="s">
        <v>1136</v>
      </c>
      <c r="H409" s="33" t="s">
        <v>603</v>
      </c>
      <c r="I409" s="36" t="s">
        <v>552</v>
      </c>
      <c r="J409" s="36" t="s">
        <v>580</v>
      </c>
      <c r="K409" s="36" t="s">
        <v>503</v>
      </c>
      <c r="L409" s="37">
        <f>(25228.88+16819.25)*2</f>
        <v>84096.260000000009</v>
      </c>
      <c r="M409" s="271">
        <v>84100</v>
      </c>
      <c r="N409" s="34"/>
      <c r="O409" s="34" t="s">
        <v>1126</v>
      </c>
      <c r="P409" s="272" t="s">
        <v>1023</v>
      </c>
    </row>
    <row r="410" spans="1:16" x14ac:dyDescent="0.25">
      <c r="A410" s="270" t="s">
        <v>411</v>
      </c>
      <c r="B410" s="31" t="s">
        <v>410</v>
      </c>
      <c r="C410" s="31" t="s">
        <v>418</v>
      </c>
      <c r="D410" s="31" t="s">
        <v>433</v>
      </c>
      <c r="E410" s="31" t="s">
        <v>191</v>
      </c>
      <c r="F410" s="35" t="s">
        <v>381</v>
      </c>
      <c r="G410" s="33" t="s">
        <v>1130</v>
      </c>
      <c r="H410" s="33" t="s">
        <v>603</v>
      </c>
      <c r="I410" s="36" t="s">
        <v>552</v>
      </c>
      <c r="J410" s="36" t="s">
        <v>580</v>
      </c>
      <c r="K410" s="36" t="s">
        <v>504</v>
      </c>
      <c r="L410" s="37">
        <f>(25228.88+16819.25)*2</f>
        <v>84096.260000000009</v>
      </c>
      <c r="M410" s="271">
        <v>84100</v>
      </c>
      <c r="N410" s="34"/>
      <c r="O410" s="34" t="s">
        <v>1126</v>
      </c>
      <c r="P410" s="272" t="s">
        <v>1023</v>
      </c>
    </row>
    <row r="411" spans="1:16" x14ac:dyDescent="0.25">
      <c r="A411" s="270" t="s">
        <v>411</v>
      </c>
      <c r="B411" s="31" t="s">
        <v>410</v>
      </c>
      <c r="C411" s="31" t="s">
        <v>418</v>
      </c>
      <c r="D411" s="31" t="s">
        <v>433</v>
      </c>
      <c r="E411" s="31" t="s">
        <v>191</v>
      </c>
      <c r="F411" s="35" t="s">
        <v>381</v>
      </c>
      <c r="G411" s="33" t="s">
        <v>1130</v>
      </c>
      <c r="H411" s="33" t="s">
        <v>603</v>
      </c>
      <c r="I411" s="36" t="s">
        <v>552</v>
      </c>
      <c r="J411" s="36" t="s">
        <v>580</v>
      </c>
      <c r="K411" s="36" t="s">
        <v>505</v>
      </c>
      <c r="L411" s="37">
        <f>(25228.88+16819.25)*2</f>
        <v>84096.260000000009</v>
      </c>
      <c r="M411" s="271">
        <v>84100</v>
      </c>
      <c r="N411" s="34"/>
      <c r="O411" s="34" t="s">
        <v>1126</v>
      </c>
      <c r="P411" s="272" t="s">
        <v>1023</v>
      </c>
    </row>
    <row r="412" spans="1:16" x14ac:dyDescent="0.25">
      <c r="A412" s="270" t="s">
        <v>411</v>
      </c>
      <c r="B412" s="31" t="s">
        <v>410</v>
      </c>
      <c r="C412" s="31" t="s">
        <v>418</v>
      </c>
      <c r="D412" s="31" t="s">
        <v>433</v>
      </c>
      <c r="E412" s="31" t="s">
        <v>191</v>
      </c>
      <c r="F412" s="35" t="s">
        <v>381</v>
      </c>
      <c r="G412" s="33" t="s">
        <v>1124</v>
      </c>
      <c r="H412" s="33" t="s">
        <v>603</v>
      </c>
      <c r="I412" s="36" t="s">
        <v>552</v>
      </c>
      <c r="J412" s="36" t="s">
        <v>580</v>
      </c>
      <c r="K412" s="36" t="s">
        <v>505</v>
      </c>
      <c r="L412" s="37">
        <v>33638.5</v>
      </c>
      <c r="M412" s="271">
        <v>33650</v>
      </c>
      <c r="N412" s="34"/>
      <c r="O412" s="34" t="s">
        <v>1125</v>
      </c>
      <c r="P412" s="272" t="s">
        <v>1024</v>
      </c>
    </row>
    <row r="413" spans="1:16" x14ac:dyDescent="0.25">
      <c r="A413" s="270" t="s">
        <v>411</v>
      </c>
      <c r="B413" s="31" t="s">
        <v>410</v>
      </c>
      <c r="C413" s="31" t="s">
        <v>418</v>
      </c>
      <c r="D413" s="31" t="s">
        <v>433</v>
      </c>
      <c r="E413" s="31" t="s">
        <v>191</v>
      </c>
      <c r="F413" s="35" t="s">
        <v>381</v>
      </c>
      <c r="G413" s="33" t="s">
        <v>1137</v>
      </c>
      <c r="H413" s="33" t="s">
        <v>603</v>
      </c>
      <c r="I413" s="36" t="s">
        <v>552</v>
      </c>
      <c r="J413" s="36" t="s">
        <v>580</v>
      </c>
      <c r="K413" s="36" t="s">
        <v>506</v>
      </c>
      <c r="L413" s="37">
        <f>(25228.88+16819.25)*2</f>
        <v>84096.260000000009</v>
      </c>
      <c r="M413" s="271">
        <v>84100</v>
      </c>
      <c r="N413" s="34"/>
      <c r="O413" s="34" t="s">
        <v>1126</v>
      </c>
      <c r="P413" s="272" t="s">
        <v>1023</v>
      </c>
    </row>
    <row r="414" spans="1:16" x14ac:dyDescent="0.25">
      <c r="A414" s="270" t="s">
        <v>411</v>
      </c>
      <c r="B414" s="31" t="s">
        <v>410</v>
      </c>
      <c r="C414" s="31" t="s">
        <v>418</v>
      </c>
      <c r="D414" s="31" t="s">
        <v>433</v>
      </c>
      <c r="E414" s="31" t="s">
        <v>191</v>
      </c>
      <c r="F414" s="35" t="s">
        <v>381</v>
      </c>
      <c r="G414" s="33" t="s">
        <v>1140</v>
      </c>
      <c r="H414" s="33" t="s">
        <v>603</v>
      </c>
      <c r="I414" s="36" t="s">
        <v>552</v>
      </c>
      <c r="J414" s="36" t="s">
        <v>580</v>
      </c>
      <c r="K414" s="36" t="s">
        <v>507</v>
      </c>
      <c r="L414" s="37">
        <f>(25228.88+16819.25)*2</f>
        <v>84096.260000000009</v>
      </c>
      <c r="M414" s="271">
        <v>84100</v>
      </c>
      <c r="N414" s="34"/>
      <c r="O414" s="34" t="s">
        <v>1126</v>
      </c>
      <c r="P414" s="272" t="s">
        <v>1023</v>
      </c>
    </row>
    <row r="415" spans="1:16" x14ac:dyDescent="0.25">
      <c r="A415" s="270" t="s">
        <v>411</v>
      </c>
      <c r="B415" s="31" t="s">
        <v>410</v>
      </c>
      <c r="C415" s="31" t="s">
        <v>418</v>
      </c>
      <c r="D415" s="31" t="s">
        <v>433</v>
      </c>
      <c r="E415" s="31" t="s">
        <v>191</v>
      </c>
      <c r="F415" s="35" t="s">
        <v>381</v>
      </c>
      <c r="G415" s="33" t="s">
        <v>1154</v>
      </c>
      <c r="H415" s="33" t="s">
        <v>603</v>
      </c>
      <c r="I415" s="36" t="s">
        <v>552</v>
      </c>
      <c r="J415" s="36" t="s">
        <v>580</v>
      </c>
      <c r="K415" s="36" t="s">
        <v>502</v>
      </c>
      <c r="L415" s="37">
        <v>43245.75</v>
      </c>
      <c r="M415" s="271">
        <v>43300</v>
      </c>
      <c r="N415" s="34"/>
      <c r="O415" s="34" t="s">
        <v>502</v>
      </c>
      <c r="P415" s="272" t="s">
        <v>1155</v>
      </c>
    </row>
    <row r="416" spans="1:16" x14ac:dyDescent="0.25">
      <c r="A416" s="270" t="s">
        <v>411</v>
      </c>
      <c r="B416" s="31" t="s">
        <v>410</v>
      </c>
      <c r="C416" s="31" t="s">
        <v>418</v>
      </c>
      <c r="D416" s="31" t="s">
        <v>433</v>
      </c>
      <c r="E416" s="31" t="s">
        <v>191</v>
      </c>
      <c r="F416" s="35" t="s">
        <v>381</v>
      </c>
      <c r="G416" s="33" t="s">
        <v>1151</v>
      </c>
      <c r="H416" s="33" t="s">
        <v>603</v>
      </c>
      <c r="I416" s="36" t="s">
        <v>553</v>
      </c>
      <c r="J416" s="36" t="s">
        <v>581</v>
      </c>
      <c r="K416" s="36" t="s">
        <v>516</v>
      </c>
      <c r="L416" s="37">
        <v>9609.75</v>
      </c>
      <c r="M416" s="271">
        <v>10000</v>
      </c>
      <c r="N416" s="34"/>
      <c r="O416" s="34" t="s">
        <v>516</v>
      </c>
      <c r="P416" s="272" t="s">
        <v>1148</v>
      </c>
    </row>
    <row r="417" spans="1:16" x14ac:dyDescent="0.25">
      <c r="A417" s="270" t="s">
        <v>411</v>
      </c>
      <c r="B417" s="31" t="s">
        <v>410</v>
      </c>
      <c r="C417" s="31" t="s">
        <v>418</v>
      </c>
      <c r="D417" s="31" t="s">
        <v>433</v>
      </c>
      <c r="E417" s="31" t="s">
        <v>191</v>
      </c>
      <c r="F417" s="35" t="s">
        <v>381</v>
      </c>
      <c r="G417" s="33" t="s">
        <v>528</v>
      </c>
      <c r="H417" s="33" t="s">
        <v>603</v>
      </c>
      <c r="I417" s="36" t="s">
        <v>553</v>
      </c>
      <c r="J417" s="36" t="s">
        <v>581</v>
      </c>
      <c r="K417" s="36" t="s">
        <v>605</v>
      </c>
      <c r="L417" s="37">
        <v>32437.13</v>
      </c>
      <c r="M417" s="271">
        <v>32500</v>
      </c>
      <c r="N417" s="34"/>
      <c r="O417" s="34"/>
      <c r="P417" s="272" t="s">
        <v>1035</v>
      </c>
    </row>
    <row r="418" spans="1:16" x14ac:dyDescent="0.25">
      <c r="A418" s="270" t="s">
        <v>411</v>
      </c>
      <c r="B418" s="31" t="s">
        <v>410</v>
      </c>
      <c r="C418" s="31" t="s">
        <v>418</v>
      </c>
      <c r="D418" s="31" t="s">
        <v>433</v>
      </c>
      <c r="E418" s="31" t="s">
        <v>191</v>
      </c>
      <c r="F418" s="35" t="s">
        <v>381</v>
      </c>
      <c r="G418" s="33" t="s">
        <v>501</v>
      </c>
      <c r="H418" s="33" t="s">
        <v>603</v>
      </c>
      <c r="I418" s="36" t="s">
        <v>555</v>
      </c>
      <c r="J418" s="36" t="s">
        <v>577</v>
      </c>
      <c r="K418" s="36" t="s">
        <v>1059</v>
      </c>
      <c r="L418" s="37">
        <v>0</v>
      </c>
      <c r="M418" s="271">
        <v>0</v>
      </c>
      <c r="N418" s="34"/>
      <c r="O418" s="34" t="s">
        <v>1061</v>
      </c>
      <c r="P418" s="272" t="s">
        <v>1060</v>
      </c>
    </row>
    <row r="419" spans="1:16" x14ac:dyDescent="0.25">
      <c r="A419" s="270" t="s">
        <v>411</v>
      </c>
      <c r="B419" s="31" t="s">
        <v>410</v>
      </c>
      <c r="C419" s="31" t="s">
        <v>418</v>
      </c>
      <c r="D419" s="31" t="s">
        <v>433</v>
      </c>
      <c r="E419" s="31" t="s">
        <v>191</v>
      </c>
      <c r="F419" s="35" t="s">
        <v>381</v>
      </c>
      <c r="G419" s="33" t="s">
        <v>1082</v>
      </c>
      <c r="H419" s="33" t="s">
        <v>603</v>
      </c>
      <c r="I419" s="36" t="s">
        <v>555</v>
      </c>
      <c r="J419" s="36" t="s">
        <v>577</v>
      </c>
      <c r="K419" s="36" t="s">
        <v>1059</v>
      </c>
      <c r="L419" s="37">
        <v>2402.75</v>
      </c>
      <c r="M419" s="271">
        <v>2450</v>
      </c>
      <c r="N419" s="34"/>
      <c r="O419" s="34" t="s">
        <v>1083</v>
      </c>
      <c r="P419" s="272" t="s">
        <v>1085</v>
      </c>
    </row>
    <row r="420" spans="1:16" x14ac:dyDescent="0.25">
      <c r="A420" s="270" t="s">
        <v>411</v>
      </c>
      <c r="B420" s="31" t="s">
        <v>410</v>
      </c>
      <c r="C420" s="31" t="s">
        <v>418</v>
      </c>
      <c r="D420" s="31" t="s">
        <v>433</v>
      </c>
      <c r="E420" s="31" t="s">
        <v>191</v>
      </c>
      <c r="F420" s="35" t="s">
        <v>381</v>
      </c>
      <c r="G420" s="33" t="s">
        <v>1067</v>
      </c>
      <c r="H420" s="33" t="s">
        <v>603</v>
      </c>
      <c r="I420" s="36" t="s">
        <v>555</v>
      </c>
      <c r="J420" s="36" t="s">
        <v>577</v>
      </c>
      <c r="K420" s="36" t="s">
        <v>589</v>
      </c>
      <c r="L420" s="37">
        <v>0</v>
      </c>
      <c r="M420" s="271">
        <v>0</v>
      </c>
      <c r="N420" s="34"/>
      <c r="O420" s="34" t="s">
        <v>1076</v>
      </c>
      <c r="P420" s="272" t="s">
        <v>1075</v>
      </c>
    </row>
    <row r="421" spans="1:16" x14ac:dyDescent="0.25">
      <c r="A421" s="270" t="s">
        <v>411</v>
      </c>
      <c r="B421" s="31" t="s">
        <v>410</v>
      </c>
      <c r="C421" s="31" t="s">
        <v>418</v>
      </c>
      <c r="D421" s="31" t="s">
        <v>433</v>
      </c>
      <c r="E421" s="31" t="s">
        <v>191</v>
      </c>
      <c r="F421" s="35" t="s">
        <v>381</v>
      </c>
      <c r="G421" s="33" t="s">
        <v>1077</v>
      </c>
      <c r="H421" s="33" t="s">
        <v>603</v>
      </c>
      <c r="I421" s="36" t="s">
        <v>555</v>
      </c>
      <c r="J421" s="36" t="s">
        <v>577</v>
      </c>
      <c r="K421" s="36" t="s">
        <v>509</v>
      </c>
      <c r="L421" s="37">
        <v>224868.15</v>
      </c>
      <c r="M421" s="271">
        <v>224900</v>
      </c>
      <c r="N421" s="34"/>
      <c r="O421" s="34" t="s">
        <v>1078</v>
      </c>
      <c r="P421" s="272" t="s">
        <v>1081</v>
      </c>
    </row>
    <row r="422" spans="1:16" x14ac:dyDescent="0.25">
      <c r="A422" s="270" t="s">
        <v>411</v>
      </c>
      <c r="B422" s="31" t="s">
        <v>410</v>
      </c>
      <c r="C422" s="31" t="s">
        <v>418</v>
      </c>
      <c r="D422" s="31" t="s">
        <v>433</v>
      </c>
      <c r="E422" s="31" t="s">
        <v>191</v>
      </c>
      <c r="F422" s="35" t="s">
        <v>381</v>
      </c>
      <c r="G422" s="33" t="s">
        <v>1068</v>
      </c>
      <c r="H422" s="33" t="s">
        <v>603</v>
      </c>
      <c r="I422" s="36" t="s">
        <v>555</v>
      </c>
      <c r="J422" s="36" t="s">
        <v>577</v>
      </c>
      <c r="K422" s="36" t="s">
        <v>510</v>
      </c>
      <c r="L422" s="37">
        <v>4324.95</v>
      </c>
      <c r="M422" s="271">
        <v>4400</v>
      </c>
      <c r="N422" s="34"/>
      <c r="O422" s="34" t="s">
        <v>1070</v>
      </c>
      <c r="P422" s="272" t="s">
        <v>1072</v>
      </c>
    </row>
    <row r="423" spans="1:16" x14ac:dyDescent="0.25">
      <c r="A423" s="270" t="s">
        <v>411</v>
      </c>
      <c r="B423" s="31" t="s">
        <v>410</v>
      </c>
      <c r="C423" s="31" t="s">
        <v>418</v>
      </c>
      <c r="D423" s="31" t="s">
        <v>433</v>
      </c>
      <c r="E423" s="31" t="s">
        <v>191</v>
      </c>
      <c r="F423" s="35" t="s">
        <v>381</v>
      </c>
      <c r="G423" s="33" t="s">
        <v>1066</v>
      </c>
      <c r="H423" s="33" t="s">
        <v>603</v>
      </c>
      <c r="I423" s="36" t="s">
        <v>555</v>
      </c>
      <c r="J423" s="36" t="s">
        <v>577</v>
      </c>
      <c r="K423" s="36" t="s">
        <v>996</v>
      </c>
      <c r="L423" s="37">
        <v>371209.5</v>
      </c>
      <c r="M423" s="271">
        <v>371300</v>
      </c>
      <c r="N423" s="34"/>
      <c r="O423" s="34" t="s">
        <v>1063</v>
      </c>
      <c r="P423" s="272" t="s">
        <v>1065</v>
      </c>
    </row>
    <row r="424" spans="1:16" x14ac:dyDescent="0.25">
      <c r="A424" s="270" t="s">
        <v>411</v>
      </c>
      <c r="B424" s="31" t="s">
        <v>410</v>
      </c>
      <c r="C424" s="31" t="s">
        <v>418</v>
      </c>
      <c r="D424" s="31" t="s">
        <v>433</v>
      </c>
      <c r="E424" s="31" t="s">
        <v>191</v>
      </c>
      <c r="F424" s="35" t="s">
        <v>381</v>
      </c>
      <c r="G424" s="33" t="s">
        <v>554</v>
      </c>
      <c r="H424" s="33" t="s">
        <v>603</v>
      </c>
      <c r="I424" s="36" t="s">
        <v>555</v>
      </c>
      <c r="J424" s="36" t="s">
        <v>577</v>
      </c>
      <c r="K424" s="36" t="s">
        <v>554</v>
      </c>
      <c r="L424" s="37">
        <v>118924.88</v>
      </c>
      <c r="M424" s="271">
        <v>120000</v>
      </c>
      <c r="N424" s="34"/>
      <c r="O424" s="34" t="s">
        <v>554</v>
      </c>
      <c r="P424" s="272" t="s">
        <v>1193</v>
      </c>
    </row>
    <row r="425" spans="1:16" x14ac:dyDescent="0.25">
      <c r="A425" s="270" t="s">
        <v>411</v>
      </c>
      <c r="B425" s="31" t="s">
        <v>410</v>
      </c>
      <c r="C425" s="31" t="s">
        <v>418</v>
      </c>
      <c r="D425" s="31" t="s">
        <v>433</v>
      </c>
      <c r="E425" s="31" t="s">
        <v>191</v>
      </c>
      <c r="F425" s="35" t="s">
        <v>381</v>
      </c>
      <c r="G425" s="33" t="s">
        <v>1117</v>
      </c>
      <c r="H425" s="33" t="s">
        <v>603</v>
      </c>
      <c r="I425" s="36" t="s">
        <v>555</v>
      </c>
      <c r="J425" s="36" t="s">
        <v>578</v>
      </c>
      <c r="K425" s="36" t="s">
        <v>1118</v>
      </c>
      <c r="L425" s="37">
        <v>112608.3</v>
      </c>
      <c r="M425" s="271">
        <v>113000</v>
      </c>
      <c r="N425" s="34"/>
      <c r="O425" s="34" t="s">
        <v>1119</v>
      </c>
      <c r="P425" s="272" t="s">
        <v>1120</v>
      </c>
    </row>
    <row r="426" spans="1:16" x14ac:dyDescent="0.25">
      <c r="A426" s="270" t="s">
        <v>411</v>
      </c>
      <c r="B426" s="31" t="s">
        <v>410</v>
      </c>
      <c r="C426" s="31" t="s">
        <v>418</v>
      </c>
      <c r="D426" s="31" t="s">
        <v>433</v>
      </c>
      <c r="E426" s="31" t="s">
        <v>191</v>
      </c>
      <c r="F426" s="35" t="s">
        <v>381</v>
      </c>
      <c r="G426" s="33" t="s">
        <v>929</v>
      </c>
      <c r="H426" s="33" t="s">
        <v>602</v>
      </c>
      <c r="I426" s="36" t="s">
        <v>555</v>
      </c>
      <c r="J426" s="36" t="s">
        <v>578</v>
      </c>
      <c r="K426" s="36" t="s">
        <v>571</v>
      </c>
      <c r="L426" s="37">
        <v>54858</v>
      </c>
      <c r="M426" s="271">
        <v>54900</v>
      </c>
      <c r="N426" s="34" t="s">
        <v>929</v>
      </c>
      <c r="O426" s="34" t="s">
        <v>930</v>
      </c>
      <c r="P426" s="272" t="s">
        <v>928</v>
      </c>
    </row>
    <row r="427" spans="1:16" x14ac:dyDescent="0.25">
      <c r="A427" s="270" t="s">
        <v>411</v>
      </c>
      <c r="B427" s="31" t="s">
        <v>410</v>
      </c>
      <c r="C427" s="31" t="s">
        <v>418</v>
      </c>
      <c r="D427" s="31" t="s">
        <v>433</v>
      </c>
      <c r="E427" s="31" t="s">
        <v>191</v>
      </c>
      <c r="F427" s="35" t="s">
        <v>381</v>
      </c>
      <c r="G427" s="33" t="s">
        <v>1112</v>
      </c>
      <c r="H427" s="33" t="s">
        <v>603</v>
      </c>
      <c r="I427" s="36" t="s">
        <v>555</v>
      </c>
      <c r="J427" s="36" t="s">
        <v>578</v>
      </c>
      <c r="K427" s="36" t="s">
        <v>1113</v>
      </c>
      <c r="L427" s="37">
        <v>0</v>
      </c>
      <c r="M427" s="271">
        <v>0</v>
      </c>
      <c r="N427" s="34"/>
      <c r="O427" s="34" t="s">
        <v>1114</v>
      </c>
      <c r="P427" s="272" t="s">
        <v>1115</v>
      </c>
    </row>
    <row r="428" spans="1:16" x14ac:dyDescent="0.25">
      <c r="A428" s="270" t="s">
        <v>411</v>
      </c>
      <c r="B428" s="31" t="s">
        <v>410</v>
      </c>
      <c r="C428" s="31" t="s">
        <v>418</v>
      </c>
      <c r="D428" s="31" t="s">
        <v>433</v>
      </c>
      <c r="E428" s="31" t="s">
        <v>191</v>
      </c>
      <c r="F428" s="35" t="s">
        <v>381</v>
      </c>
      <c r="G428" s="33" t="s">
        <v>1092</v>
      </c>
      <c r="H428" s="33" t="s">
        <v>603</v>
      </c>
      <c r="I428" s="36" t="s">
        <v>555</v>
      </c>
      <c r="J428" s="36" t="s">
        <v>875</v>
      </c>
      <c r="K428" s="36" t="s">
        <v>1093</v>
      </c>
      <c r="L428" s="37">
        <v>6406.5</v>
      </c>
      <c r="M428" s="271">
        <v>6450</v>
      </c>
      <c r="N428" s="34"/>
      <c r="O428" s="34" t="s">
        <v>1094</v>
      </c>
      <c r="P428" s="272" t="s">
        <v>1105</v>
      </c>
    </row>
    <row r="429" spans="1:16" x14ac:dyDescent="0.25">
      <c r="A429" s="270" t="s">
        <v>411</v>
      </c>
      <c r="B429" s="31" t="s">
        <v>410</v>
      </c>
      <c r="C429" s="31" t="s">
        <v>418</v>
      </c>
      <c r="D429" s="31" t="s">
        <v>433</v>
      </c>
      <c r="E429" s="31" t="s">
        <v>191</v>
      </c>
      <c r="F429" s="35" t="s">
        <v>381</v>
      </c>
      <c r="G429" s="33" t="s">
        <v>1107</v>
      </c>
      <c r="H429" s="33" t="s">
        <v>603</v>
      </c>
      <c r="I429" s="36" t="s">
        <v>555</v>
      </c>
      <c r="J429" s="36" t="s">
        <v>875</v>
      </c>
      <c r="K429" s="36" t="s">
        <v>1093</v>
      </c>
      <c r="L429" s="37">
        <v>0</v>
      </c>
      <c r="M429" s="271">
        <v>0</v>
      </c>
      <c r="N429" s="34"/>
      <c r="O429" s="34" t="s">
        <v>1108</v>
      </c>
      <c r="P429" s="272" t="s">
        <v>1111</v>
      </c>
    </row>
    <row r="430" spans="1:16" x14ac:dyDescent="0.25">
      <c r="A430" s="270" t="s">
        <v>411</v>
      </c>
      <c r="B430" s="31" t="s">
        <v>410</v>
      </c>
      <c r="C430" s="31" t="s">
        <v>418</v>
      </c>
      <c r="D430" s="31" t="s">
        <v>433</v>
      </c>
      <c r="E430" s="31" t="s">
        <v>191</v>
      </c>
      <c r="F430" s="35" t="s">
        <v>381</v>
      </c>
      <c r="G430" s="33" t="s">
        <v>1092</v>
      </c>
      <c r="H430" s="33" t="s">
        <v>603</v>
      </c>
      <c r="I430" s="36" t="s">
        <v>555</v>
      </c>
      <c r="J430" s="36" t="s">
        <v>875</v>
      </c>
      <c r="K430" s="36" t="s">
        <v>1093</v>
      </c>
      <c r="L430" s="37">
        <v>5765.85</v>
      </c>
      <c r="M430" s="271">
        <v>5800</v>
      </c>
      <c r="N430" s="34"/>
      <c r="O430" s="34" t="s">
        <v>1096</v>
      </c>
      <c r="P430" s="272" t="s">
        <v>1098</v>
      </c>
    </row>
    <row r="431" spans="1:16" x14ac:dyDescent="0.25">
      <c r="A431" s="270" t="s">
        <v>411</v>
      </c>
      <c r="B431" s="31" t="s">
        <v>410</v>
      </c>
      <c r="C431" s="31" t="s">
        <v>418</v>
      </c>
      <c r="D431" s="31" t="s">
        <v>433</v>
      </c>
      <c r="E431" s="31" t="s">
        <v>191</v>
      </c>
      <c r="F431" s="35" t="s">
        <v>381</v>
      </c>
      <c r="G431" s="33" t="s">
        <v>1092</v>
      </c>
      <c r="H431" s="33" t="s">
        <v>603</v>
      </c>
      <c r="I431" s="36" t="s">
        <v>555</v>
      </c>
      <c r="J431" s="36" t="s">
        <v>875</v>
      </c>
      <c r="K431" s="36" t="s">
        <v>1093</v>
      </c>
      <c r="L431" s="37">
        <v>11211.38</v>
      </c>
      <c r="M431" s="271">
        <v>11250</v>
      </c>
      <c r="N431" s="34"/>
      <c r="O431" s="34" t="s">
        <v>1099</v>
      </c>
      <c r="P431" s="272" t="s">
        <v>1102</v>
      </c>
    </row>
    <row r="432" spans="1:16" x14ac:dyDescent="0.25">
      <c r="A432" s="270" t="s">
        <v>411</v>
      </c>
      <c r="B432" s="31" t="s">
        <v>410</v>
      </c>
      <c r="C432" s="31" t="s">
        <v>418</v>
      </c>
      <c r="D432" s="31" t="s">
        <v>433</v>
      </c>
      <c r="E432" s="31" t="s">
        <v>191</v>
      </c>
      <c r="F432" s="35" t="s">
        <v>381</v>
      </c>
      <c r="G432" s="33" t="s">
        <v>1166</v>
      </c>
      <c r="H432" s="33" t="s">
        <v>603</v>
      </c>
      <c r="I432" s="36" t="s">
        <v>555</v>
      </c>
      <c r="J432" s="36" t="s">
        <v>875</v>
      </c>
      <c r="K432" s="36" t="s">
        <v>519</v>
      </c>
      <c r="L432" s="37">
        <v>0</v>
      </c>
      <c r="M432" s="271">
        <v>0</v>
      </c>
      <c r="N432" s="34"/>
      <c r="O432" s="34" t="s">
        <v>1161</v>
      </c>
      <c r="P432" s="272" t="s">
        <v>1164</v>
      </c>
    </row>
    <row r="433" spans="1:16" x14ac:dyDescent="0.25">
      <c r="A433" s="270" t="s">
        <v>411</v>
      </c>
      <c r="B433" s="31" t="s">
        <v>410</v>
      </c>
      <c r="C433" s="31" t="s">
        <v>418</v>
      </c>
      <c r="D433" s="31" t="s">
        <v>433</v>
      </c>
      <c r="E433" s="31" t="s">
        <v>191</v>
      </c>
      <c r="F433" s="35" t="s">
        <v>381</v>
      </c>
      <c r="G433" s="33" t="s">
        <v>1147</v>
      </c>
      <c r="H433" s="33" t="s">
        <v>603</v>
      </c>
      <c r="I433" s="36" t="s">
        <v>555</v>
      </c>
      <c r="J433" s="36" t="s">
        <v>875</v>
      </c>
      <c r="K433" s="36" t="s">
        <v>517</v>
      </c>
      <c r="L433" s="37">
        <v>16016.25</v>
      </c>
      <c r="M433" s="271">
        <v>16100</v>
      </c>
      <c r="N433" s="34" t="s">
        <v>973</v>
      </c>
      <c r="O433" s="34" t="s">
        <v>1025</v>
      </c>
      <c r="P433" s="272" t="s">
        <v>1027</v>
      </c>
    </row>
    <row r="434" spans="1:16" x14ac:dyDescent="0.25">
      <c r="A434" s="270" t="s">
        <v>411</v>
      </c>
      <c r="B434" s="31" t="s">
        <v>410</v>
      </c>
      <c r="C434" s="31" t="s">
        <v>418</v>
      </c>
      <c r="D434" s="31" t="s">
        <v>433</v>
      </c>
      <c r="E434" s="31" t="s">
        <v>191</v>
      </c>
      <c r="F434" s="35" t="s">
        <v>381</v>
      </c>
      <c r="G434" s="33" t="s">
        <v>885</v>
      </c>
      <c r="H434" s="33" t="s">
        <v>603</v>
      </c>
      <c r="I434" s="36" t="s">
        <v>555</v>
      </c>
      <c r="J434" s="36" t="s">
        <v>875</v>
      </c>
      <c r="K434" s="36" t="s">
        <v>1195</v>
      </c>
      <c r="L434" s="37">
        <v>139150</v>
      </c>
      <c r="M434" s="271">
        <v>142000</v>
      </c>
      <c r="N434" s="34"/>
      <c r="O434" s="34" t="s">
        <v>1192</v>
      </c>
      <c r="P434" s="272" t="s">
        <v>1188</v>
      </c>
    </row>
    <row r="435" spans="1:16" x14ac:dyDescent="0.25">
      <c r="A435" s="270" t="s">
        <v>411</v>
      </c>
      <c r="B435" s="31" t="s">
        <v>410</v>
      </c>
      <c r="C435" s="31" t="s">
        <v>418</v>
      </c>
      <c r="D435" s="31" t="s">
        <v>433</v>
      </c>
      <c r="E435" s="31" t="s">
        <v>191</v>
      </c>
      <c r="F435" s="35" t="s">
        <v>381</v>
      </c>
      <c r="G435" s="33" t="s">
        <v>885</v>
      </c>
      <c r="H435" s="33" t="s">
        <v>603</v>
      </c>
      <c r="I435" s="36" t="s">
        <v>555</v>
      </c>
      <c r="J435" s="36" t="s">
        <v>875</v>
      </c>
      <c r="K435" s="36" t="s">
        <v>1194</v>
      </c>
      <c r="L435" s="37">
        <v>194810</v>
      </c>
      <c r="M435" s="271">
        <v>200000</v>
      </c>
      <c r="N435" s="34"/>
      <c r="O435" s="34" t="s">
        <v>1185</v>
      </c>
      <c r="P435" s="272" t="s">
        <v>1184</v>
      </c>
    </row>
    <row r="436" spans="1:16" x14ac:dyDescent="0.25">
      <c r="A436" s="270" t="s">
        <v>411</v>
      </c>
      <c r="B436" s="31" t="s">
        <v>410</v>
      </c>
      <c r="C436" s="31" t="s">
        <v>418</v>
      </c>
      <c r="D436" s="31" t="s">
        <v>433</v>
      </c>
      <c r="E436" s="31" t="s">
        <v>191</v>
      </c>
      <c r="F436" s="35" t="s">
        <v>381</v>
      </c>
      <c r="G436" s="33" t="s">
        <v>885</v>
      </c>
      <c r="H436" s="33" t="s">
        <v>603</v>
      </c>
      <c r="I436" s="36" t="s">
        <v>555</v>
      </c>
      <c r="J436" s="36" t="s">
        <v>875</v>
      </c>
      <c r="K436" s="36" t="s">
        <v>1196</v>
      </c>
      <c r="L436" s="37">
        <v>75900</v>
      </c>
      <c r="M436" s="271">
        <v>76500</v>
      </c>
      <c r="N436" s="34"/>
      <c r="O436" s="34" t="s">
        <v>1183</v>
      </c>
      <c r="P436" s="272" t="s">
        <v>1180</v>
      </c>
    </row>
    <row r="437" spans="1:16" x14ac:dyDescent="0.25">
      <c r="A437" s="270" t="s">
        <v>411</v>
      </c>
      <c r="B437" s="31" t="s">
        <v>410</v>
      </c>
      <c r="C437" s="31" t="s">
        <v>418</v>
      </c>
      <c r="D437" s="31" t="s">
        <v>433</v>
      </c>
      <c r="E437" s="31" t="s">
        <v>191</v>
      </c>
      <c r="F437" s="35" t="s">
        <v>381</v>
      </c>
      <c r="G437" s="33" t="s">
        <v>929</v>
      </c>
      <c r="H437" s="33" t="s">
        <v>602</v>
      </c>
      <c r="I437" s="36" t="s">
        <v>555</v>
      </c>
      <c r="J437" s="36" t="s">
        <v>875</v>
      </c>
      <c r="K437" s="36" t="s">
        <v>1194</v>
      </c>
      <c r="L437" s="37">
        <v>50457.75</v>
      </c>
      <c r="M437" s="271">
        <v>50500</v>
      </c>
      <c r="N437" s="34" t="s">
        <v>929</v>
      </c>
      <c r="O437" s="34" t="s">
        <v>1009</v>
      </c>
      <c r="P437" s="272" t="s">
        <v>1012</v>
      </c>
    </row>
    <row r="438" spans="1:16" x14ac:dyDescent="0.25">
      <c r="A438" s="270" t="s">
        <v>411</v>
      </c>
      <c r="B438" s="31" t="s">
        <v>410</v>
      </c>
      <c r="C438" s="31" t="s">
        <v>418</v>
      </c>
      <c r="D438" s="31" t="s">
        <v>433</v>
      </c>
      <c r="E438" s="31" t="s">
        <v>191</v>
      </c>
      <c r="F438" s="35" t="s">
        <v>381</v>
      </c>
      <c r="G438" s="33" t="s">
        <v>885</v>
      </c>
      <c r="H438" s="33" t="s">
        <v>603</v>
      </c>
      <c r="I438" s="36" t="s">
        <v>555</v>
      </c>
      <c r="J438" s="36" t="s">
        <v>875</v>
      </c>
      <c r="K438" s="36" t="s">
        <v>1196</v>
      </c>
      <c r="L438" s="37">
        <v>32890</v>
      </c>
      <c r="M438" s="271">
        <v>35000</v>
      </c>
      <c r="N438" s="34"/>
      <c r="O438" s="34" t="s">
        <v>1181</v>
      </c>
      <c r="P438" s="272" t="s">
        <v>1174</v>
      </c>
    </row>
    <row r="439" spans="1:16" x14ac:dyDescent="0.25">
      <c r="A439" s="270" t="s">
        <v>411</v>
      </c>
      <c r="B439" s="31" t="s">
        <v>410</v>
      </c>
      <c r="C439" s="31" t="s">
        <v>418</v>
      </c>
      <c r="D439" s="31" t="s">
        <v>433</v>
      </c>
      <c r="E439" s="31" t="s">
        <v>191</v>
      </c>
      <c r="F439" s="35" t="s">
        <v>381</v>
      </c>
      <c r="G439" s="33" t="s">
        <v>885</v>
      </c>
      <c r="H439" s="33" t="s">
        <v>603</v>
      </c>
      <c r="I439" s="36" t="s">
        <v>555</v>
      </c>
      <c r="J439" s="36" t="s">
        <v>875</v>
      </c>
      <c r="K439" s="36" t="s">
        <v>1196</v>
      </c>
      <c r="L439" s="37">
        <v>32890</v>
      </c>
      <c r="M439" s="271">
        <v>35000</v>
      </c>
      <c r="N439" s="34"/>
      <c r="O439" s="34" t="s">
        <v>1182</v>
      </c>
      <c r="P439" s="272" t="s">
        <v>1175</v>
      </c>
    </row>
    <row r="440" spans="1:16" x14ac:dyDescent="0.25">
      <c r="A440" s="270" t="s">
        <v>411</v>
      </c>
      <c r="B440" s="31" t="s">
        <v>410</v>
      </c>
      <c r="C440" s="31" t="s">
        <v>418</v>
      </c>
      <c r="D440" s="31" t="s">
        <v>433</v>
      </c>
      <c r="E440" s="31" t="s">
        <v>191</v>
      </c>
      <c r="F440" s="35" t="s">
        <v>381</v>
      </c>
      <c r="G440" s="33" t="s">
        <v>885</v>
      </c>
      <c r="H440" s="33" t="s">
        <v>603</v>
      </c>
      <c r="I440" s="36" t="s">
        <v>555</v>
      </c>
      <c r="J440" s="36" t="s">
        <v>875</v>
      </c>
      <c r="K440" s="36" t="s">
        <v>1044</v>
      </c>
      <c r="L440" s="37">
        <v>24027.5</v>
      </c>
      <c r="M440" s="271">
        <v>24100</v>
      </c>
      <c r="N440" s="34"/>
      <c r="O440" s="34" t="s">
        <v>1049</v>
      </c>
      <c r="P440" s="272" t="s">
        <v>1048</v>
      </c>
    </row>
    <row r="441" spans="1:16" x14ac:dyDescent="0.25">
      <c r="A441" s="270" t="s">
        <v>411</v>
      </c>
      <c r="B441" s="31" t="s">
        <v>410</v>
      </c>
      <c r="C441" s="31" t="s">
        <v>418</v>
      </c>
      <c r="D441" s="31" t="s">
        <v>433</v>
      </c>
      <c r="E441" s="31" t="s">
        <v>191</v>
      </c>
      <c r="F441" s="35" t="s">
        <v>381</v>
      </c>
      <c r="G441" s="33" t="s">
        <v>929</v>
      </c>
      <c r="H441" s="33" t="s">
        <v>602</v>
      </c>
      <c r="I441" s="36" t="s">
        <v>555</v>
      </c>
      <c r="J441" s="36" t="s">
        <v>875</v>
      </c>
      <c r="K441" s="36" t="s">
        <v>573</v>
      </c>
      <c r="L441" s="37">
        <v>8008.75</v>
      </c>
      <c r="M441" s="271">
        <v>8500</v>
      </c>
      <c r="N441" s="34" t="s">
        <v>929</v>
      </c>
      <c r="O441" s="34" t="s">
        <v>573</v>
      </c>
      <c r="P441" s="272" t="s">
        <v>954</v>
      </c>
    </row>
    <row r="442" spans="1:16" x14ac:dyDescent="0.25">
      <c r="A442" s="270" t="s">
        <v>411</v>
      </c>
      <c r="B442" s="31" t="s">
        <v>410</v>
      </c>
      <c r="C442" s="31" t="s">
        <v>418</v>
      </c>
      <c r="D442" s="31" t="s">
        <v>433</v>
      </c>
      <c r="E442" s="31" t="s">
        <v>191</v>
      </c>
      <c r="F442" s="35" t="s">
        <v>381</v>
      </c>
      <c r="G442" s="33" t="s">
        <v>929</v>
      </c>
      <c r="H442" s="33" t="s">
        <v>602</v>
      </c>
      <c r="I442" s="36" t="s">
        <v>555</v>
      </c>
      <c r="J442" s="36" t="s">
        <v>875</v>
      </c>
      <c r="K442" s="36" t="s">
        <v>950</v>
      </c>
      <c r="L442" s="37">
        <v>36837.379999999997</v>
      </c>
      <c r="M442" s="271">
        <v>37000</v>
      </c>
      <c r="N442" s="34" t="s">
        <v>929</v>
      </c>
      <c r="O442" s="34" t="s">
        <v>950</v>
      </c>
      <c r="P442" s="272" t="s">
        <v>955</v>
      </c>
    </row>
    <row r="443" spans="1:16" x14ac:dyDescent="0.25">
      <c r="A443" s="270" t="s">
        <v>411</v>
      </c>
      <c r="B443" s="31" t="s">
        <v>410</v>
      </c>
      <c r="C443" s="31" t="s">
        <v>418</v>
      </c>
      <c r="D443" s="31" t="s">
        <v>433</v>
      </c>
      <c r="E443" s="31" t="s">
        <v>191</v>
      </c>
      <c r="F443" s="35" t="s">
        <v>381</v>
      </c>
      <c r="G443" s="33" t="s">
        <v>513</v>
      </c>
      <c r="H443" s="33" t="s">
        <v>603</v>
      </c>
      <c r="I443" s="36" t="s">
        <v>555</v>
      </c>
      <c r="J443" s="36" t="s">
        <v>875</v>
      </c>
      <c r="K443" s="36" t="s">
        <v>904</v>
      </c>
      <c r="L443" s="37">
        <v>165782.25</v>
      </c>
      <c r="M443" s="271">
        <v>165800</v>
      </c>
      <c r="N443" s="34"/>
      <c r="O443" s="34" t="s">
        <v>1052</v>
      </c>
      <c r="P443" s="272" t="s">
        <v>1051</v>
      </c>
    </row>
    <row r="444" spans="1:16" x14ac:dyDescent="0.25">
      <c r="A444" s="270" t="s">
        <v>411</v>
      </c>
      <c r="B444" s="31" t="s">
        <v>410</v>
      </c>
      <c r="C444" s="31" t="s">
        <v>418</v>
      </c>
      <c r="D444" s="31" t="s">
        <v>433</v>
      </c>
      <c r="E444" s="31" t="s">
        <v>191</v>
      </c>
      <c r="F444" s="35" t="s">
        <v>381</v>
      </c>
      <c r="G444" s="33" t="s">
        <v>527</v>
      </c>
      <c r="H444" s="33" t="s">
        <v>603</v>
      </c>
      <c r="I444" s="36" t="s">
        <v>555</v>
      </c>
      <c r="J444" s="36" t="s">
        <v>875</v>
      </c>
      <c r="K444" s="36" t="s">
        <v>518</v>
      </c>
      <c r="L444" s="37">
        <v>1213845.3</v>
      </c>
      <c r="M444" s="271">
        <v>1210000</v>
      </c>
      <c r="N444" s="34" t="s">
        <v>973</v>
      </c>
      <c r="O444" s="34" t="s">
        <v>974</v>
      </c>
      <c r="P444" s="272" t="s">
        <v>976</v>
      </c>
    </row>
    <row r="445" spans="1:16" x14ac:dyDescent="0.25">
      <c r="A445" s="270" t="s">
        <v>411</v>
      </c>
      <c r="B445" s="31" t="s">
        <v>410</v>
      </c>
      <c r="C445" s="31" t="s">
        <v>418</v>
      </c>
      <c r="D445" s="31" t="s">
        <v>434</v>
      </c>
      <c r="E445" s="31" t="s">
        <v>193</v>
      </c>
      <c r="F445" s="35" t="s">
        <v>435</v>
      </c>
      <c r="G445" s="33" t="s">
        <v>597</v>
      </c>
      <c r="H445" s="33" t="s">
        <v>603</v>
      </c>
      <c r="I445" s="36" t="s">
        <v>552</v>
      </c>
      <c r="J445" s="36" t="s">
        <v>591</v>
      </c>
      <c r="K445" s="36" t="s">
        <v>1015</v>
      </c>
      <c r="L445" s="37">
        <v>1015.35</v>
      </c>
      <c r="M445" s="271">
        <v>500</v>
      </c>
      <c r="N445" s="34"/>
      <c r="O445" s="34"/>
      <c r="P445" s="272" t="s">
        <v>1033</v>
      </c>
    </row>
    <row r="446" spans="1:16" x14ac:dyDescent="0.25">
      <c r="A446" s="270" t="s">
        <v>411</v>
      </c>
      <c r="B446" s="31" t="s">
        <v>410</v>
      </c>
      <c r="C446" s="31" t="s">
        <v>418</v>
      </c>
      <c r="D446" s="31" t="s">
        <v>434</v>
      </c>
      <c r="E446" s="31" t="s">
        <v>193</v>
      </c>
      <c r="F446" s="35" t="s">
        <v>435</v>
      </c>
      <c r="G446" s="33" t="s">
        <v>929</v>
      </c>
      <c r="H446" s="33" t="s">
        <v>602</v>
      </c>
      <c r="I446" s="36" t="s">
        <v>552</v>
      </c>
      <c r="J446" s="36" t="s">
        <v>591</v>
      </c>
      <c r="K446" s="36" t="s">
        <v>1015</v>
      </c>
      <c r="L446" s="37">
        <f>2*4676.9</f>
        <v>9353.7999999999993</v>
      </c>
      <c r="M446" s="271">
        <v>4000</v>
      </c>
      <c r="N446" s="34" t="s">
        <v>929</v>
      </c>
      <c r="O446" s="34" t="s">
        <v>1004</v>
      </c>
      <c r="P446" s="272" t="s">
        <v>1000</v>
      </c>
    </row>
    <row r="447" spans="1:16" x14ac:dyDescent="0.25">
      <c r="A447" s="270" t="s">
        <v>411</v>
      </c>
      <c r="B447" s="31" t="s">
        <v>410</v>
      </c>
      <c r="C447" s="31" t="s">
        <v>418</v>
      </c>
      <c r="D447" s="31" t="s">
        <v>434</v>
      </c>
      <c r="E447" s="31" t="s">
        <v>193</v>
      </c>
      <c r="F447" s="35" t="s">
        <v>435</v>
      </c>
      <c r="G447" s="33" t="s">
        <v>929</v>
      </c>
      <c r="H447" s="33" t="s">
        <v>602</v>
      </c>
      <c r="I447" s="36" t="s">
        <v>552</v>
      </c>
      <c r="J447" s="36" t="s">
        <v>1221</v>
      </c>
      <c r="K447" s="36" t="s">
        <v>1220</v>
      </c>
      <c r="L447" s="37">
        <f xml:space="preserve"> 4676.9*4</f>
        <v>18707.599999999999</v>
      </c>
      <c r="M447" s="271">
        <v>4000</v>
      </c>
      <c r="N447" s="34" t="s">
        <v>929</v>
      </c>
      <c r="O447" s="34" t="s">
        <v>1003</v>
      </c>
      <c r="P447" s="272" t="s">
        <v>999</v>
      </c>
    </row>
    <row r="448" spans="1:16" x14ac:dyDescent="0.25">
      <c r="A448" s="270" t="s">
        <v>411</v>
      </c>
      <c r="B448" s="31" t="s">
        <v>410</v>
      </c>
      <c r="C448" s="31" t="s">
        <v>418</v>
      </c>
      <c r="D448" s="31" t="s">
        <v>434</v>
      </c>
      <c r="E448" s="31" t="s">
        <v>193</v>
      </c>
      <c r="F448" s="35" t="s">
        <v>435</v>
      </c>
      <c r="G448" s="33" t="s">
        <v>929</v>
      </c>
      <c r="H448" s="33" t="s">
        <v>602</v>
      </c>
      <c r="I448" s="36" t="s">
        <v>552</v>
      </c>
      <c r="J448" s="36" t="s">
        <v>591</v>
      </c>
      <c r="K448" s="36" t="s">
        <v>948</v>
      </c>
      <c r="L448" s="37">
        <v>5514.7</v>
      </c>
      <c r="M448" s="271">
        <v>5180</v>
      </c>
      <c r="N448" s="34" t="s">
        <v>929</v>
      </c>
      <c r="O448" s="34" t="s">
        <v>948</v>
      </c>
      <c r="P448" s="272" t="s">
        <v>951</v>
      </c>
    </row>
    <row r="449" spans="1:16" x14ac:dyDescent="0.25">
      <c r="A449" s="270" t="s">
        <v>411</v>
      </c>
      <c r="B449" s="31" t="s">
        <v>410</v>
      </c>
      <c r="C449" s="31" t="s">
        <v>418</v>
      </c>
      <c r="D449" s="31" t="s">
        <v>434</v>
      </c>
      <c r="E449" s="31" t="s">
        <v>193</v>
      </c>
      <c r="F449" s="35" t="s">
        <v>435</v>
      </c>
      <c r="G449" s="33" t="s">
        <v>929</v>
      </c>
      <c r="H449" s="33" t="s">
        <v>602</v>
      </c>
      <c r="I449" s="36" t="s">
        <v>552</v>
      </c>
      <c r="J449" s="36" t="s">
        <v>591</v>
      </c>
      <c r="K449" s="36" t="s">
        <v>572</v>
      </c>
      <c r="L449" s="37">
        <v>3976.33</v>
      </c>
      <c r="M449" s="271">
        <v>3065</v>
      </c>
      <c r="N449" s="34" t="s">
        <v>929</v>
      </c>
      <c r="O449" s="34" t="s">
        <v>572</v>
      </c>
      <c r="P449" s="272" t="s">
        <v>952</v>
      </c>
    </row>
    <row r="450" spans="1:16" x14ac:dyDescent="0.25">
      <c r="A450" s="270" t="s">
        <v>411</v>
      </c>
      <c r="B450" s="31" t="s">
        <v>410</v>
      </c>
      <c r="C450" s="31" t="s">
        <v>418</v>
      </c>
      <c r="D450" s="31" t="s">
        <v>434</v>
      </c>
      <c r="E450" s="31" t="s">
        <v>193</v>
      </c>
      <c r="F450" s="35" t="s">
        <v>435</v>
      </c>
      <c r="G450" s="33" t="s">
        <v>506</v>
      </c>
      <c r="H450" s="33" t="s">
        <v>603</v>
      </c>
      <c r="I450" s="36" t="s">
        <v>552</v>
      </c>
      <c r="J450" s="36" t="s">
        <v>580</v>
      </c>
      <c r="K450" s="36" t="s">
        <v>1056</v>
      </c>
      <c r="L450" s="37">
        <v>151.66999999999999</v>
      </c>
      <c r="M450" s="271">
        <v>4000</v>
      </c>
      <c r="N450" s="34"/>
      <c r="O450" s="34" t="s">
        <v>1057</v>
      </c>
      <c r="P450" s="272" t="s">
        <v>1128</v>
      </c>
    </row>
    <row r="451" spans="1:16" x14ac:dyDescent="0.25">
      <c r="A451" s="270" t="s">
        <v>411</v>
      </c>
      <c r="B451" s="31" t="s">
        <v>410</v>
      </c>
      <c r="C451" s="31" t="s">
        <v>418</v>
      </c>
      <c r="D451" s="31" t="s">
        <v>434</v>
      </c>
      <c r="E451" s="31" t="s">
        <v>193</v>
      </c>
      <c r="F451" s="35" t="s">
        <v>435</v>
      </c>
      <c r="G451" s="33" t="s">
        <v>505</v>
      </c>
      <c r="H451" s="33" t="s">
        <v>603</v>
      </c>
      <c r="I451" s="36" t="s">
        <v>552</v>
      </c>
      <c r="J451" s="36" t="s">
        <v>580</v>
      </c>
      <c r="K451" s="36" t="s">
        <v>1056</v>
      </c>
      <c r="L451" s="37">
        <v>0</v>
      </c>
      <c r="M451" s="271">
        <v>0</v>
      </c>
      <c r="N451" s="34"/>
      <c r="O451" s="34" t="s">
        <v>1058</v>
      </c>
      <c r="P451" s="272" t="s">
        <v>1127</v>
      </c>
    </row>
    <row r="452" spans="1:16" x14ac:dyDescent="0.25">
      <c r="A452" s="270" t="s">
        <v>411</v>
      </c>
      <c r="B452" s="31" t="s">
        <v>410</v>
      </c>
      <c r="C452" s="31" t="s">
        <v>418</v>
      </c>
      <c r="D452" s="31" t="s">
        <v>434</v>
      </c>
      <c r="E452" s="31" t="s">
        <v>193</v>
      </c>
      <c r="F452" s="35" t="s">
        <v>435</v>
      </c>
      <c r="G452" s="33" t="s">
        <v>507</v>
      </c>
      <c r="H452" s="33" t="s">
        <v>603</v>
      </c>
      <c r="I452" s="36" t="s">
        <v>552</v>
      </c>
      <c r="J452" s="36" t="s">
        <v>580</v>
      </c>
      <c r="K452" s="36" t="s">
        <v>1056</v>
      </c>
      <c r="L452" s="37">
        <v>681.7</v>
      </c>
      <c r="M452" s="271">
        <v>4580</v>
      </c>
      <c r="N452" s="34"/>
      <c r="O452" s="34" t="s">
        <v>1055</v>
      </c>
      <c r="P452" s="272" t="s">
        <v>1054</v>
      </c>
    </row>
    <row r="453" spans="1:16" x14ac:dyDescent="0.25">
      <c r="A453" s="270" t="s">
        <v>411</v>
      </c>
      <c r="B453" s="31" t="s">
        <v>410</v>
      </c>
      <c r="C453" s="31" t="s">
        <v>418</v>
      </c>
      <c r="D453" s="31" t="s">
        <v>434</v>
      </c>
      <c r="E453" s="31" t="s">
        <v>193</v>
      </c>
      <c r="F453" s="35" t="s">
        <v>435</v>
      </c>
      <c r="G453" s="33" t="s">
        <v>1130</v>
      </c>
      <c r="H453" s="33" t="s">
        <v>603</v>
      </c>
      <c r="I453" s="36" t="s">
        <v>552</v>
      </c>
      <c r="J453" s="36" t="s">
        <v>580</v>
      </c>
      <c r="K453" s="36" t="s">
        <v>504</v>
      </c>
      <c r="L453" s="37">
        <v>18.739999999999998</v>
      </c>
      <c r="M453" s="271">
        <v>980</v>
      </c>
      <c r="N453" s="34"/>
      <c r="O453" s="34" t="s">
        <v>504</v>
      </c>
      <c r="P453" s="272" t="s">
        <v>1129</v>
      </c>
    </row>
    <row r="454" spans="1:16" x14ac:dyDescent="0.25">
      <c r="A454" s="270" t="s">
        <v>411</v>
      </c>
      <c r="B454" s="31" t="s">
        <v>410</v>
      </c>
      <c r="C454" s="31" t="s">
        <v>418</v>
      </c>
      <c r="D454" s="31" t="s">
        <v>434</v>
      </c>
      <c r="E454" s="31" t="s">
        <v>193</v>
      </c>
      <c r="F454" s="35" t="s">
        <v>435</v>
      </c>
      <c r="G454" s="33" t="s">
        <v>1124</v>
      </c>
      <c r="H454" s="33" t="s">
        <v>603</v>
      </c>
      <c r="I454" s="36" t="s">
        <v>552</v>
      </c>
      <c r="J454" s="36" t="s">
        <v>580</v>
      </c>
      <c r="K454" s="36" t="s">
        <v>505</v>
      </c>
      <c r="L454" s="37">
        <v>18.739999999999998</v>
      </c>
      <c r="M454" s="271">
        <v>980</v>
      </c>
      <c r="N454" s="34"/>
      <c r="O454" s="34" t="s">
        <v>505</v>
      </c>
      <c r="P454" s="272" t="s">
        <v>1122</v>
      </c>
    </row>
    <row r="455" spans="1:16" x14ac:dyDescent="0.25">
      <c r="A455" s="270" t="s">
        <v>411</v>
      </c>
      <c r="B455" s="31" t="s">
        <v>410</v>
      </c>
      <c r="C455" s="31" t="s">
        <v>418</v>
      </c>
      <c r="D455" s="31" t="s">
        <v>434</v>
      </c>
      <c r="E455" s="31" t="s">
        <v>193</v>
      </c>
      <c r="F455" s="35" t="s">
        <v>435</v>
      </c>
      <c r="G455" s="33" t="s">
        <v>512</v>
      </c>
      <c r="H455" s="33" t="s">
        <v>603</v>
      </c>
      <c r="I455" s="36" t="s">
        <v>552</v>
      </c>
      <c r="J455" s="36" t="s">
        <v>580</v>
      </c>
      <c r="K455" s="36" t="s">
        <v>606</v>
      </c>
      <c r="L455" s="37">
        <v>1540.62</v>
      </c>
      <c r="M455" s="271">
        <v>1525</v>
      </c>
      <c r="N455" s="34"/>
      <c r="O455" s="34"/>
      <c r="P455" s="272" t="s">
        <v>1022</v>
      </c>
    </row>
    <row r="456" spans="1:16" x14ac:dyDescent="0.25">
      <c r="A456" s="270" t="s">
        <v>411</v>
      </c>
      <c r="B456" s="31" t="s">
        <v>410</v>
      </c>
      <c r="C456" s="31" t="s">
        <v>418</v>
      </c>
      <c r="D456" s="31" t="s">
        <v>434</v>
      </c>
      <c r="E456" s="31" t="s">
        <v>193</v>
      </c>
      <c r="F456" s="35" t="s">
        <v>435</v>
      </c>
      <c r="G456" s="33" t="s">
        <v>1151</v>
      </c>
      <c r="H456" s="33" t="s">
        <v>603</v>
      </c>
      <c r="I456" s="36" t="s">
        <v>553</v>
      </c>
      <c r="J456" s="36" t="s">
        <v>581</v>
      </c>
      <c r="K456" s="36" t="s">
        <v>516</v>
      </c>
      <c r="L456" s="37">
        <v>684.75</v>
      </c>
      <c r="M456" s="271">
        <v>2500</v>
      </c>
      <c r="N456" s="34"/>
      <c r="O456" s="34" t="s">
        <v>516</v>
      </c>
      <c r="P456" s="272" t="s">
        <v>1149</v>
      </c>
    </row>
    <row r="457" spans="1:16" x14ac:dyDescent="0.25">
      <c r="A457" s="270" t="s">
        <v>411</v>
      </c>
      <c r="B457" s="31" t="s">
        <v>410</v>
      </c>
      <c r="C457" s="31" t="s">
        <v>418</v>
      </c>
      <c r="D457" s="31" t="s">
        <v>434</v>
      </c>
      <c r="E457" s="31" t="s">
        <v>193</v>
      </c>
      <c r="F457" s="35" t="s">
        <v>435</v>
      </c>
      <c r="G457" s="33" t="s">
        <v>528</v>
      </c>
      <c r="H457" s="33" t="s">
        <v>603</v>
      </c>
      <c r="I457" s="36" t="s">
        <v>553</v>
      </c>
      <c r="J457" s="36" t="s">
        <v>581</v>
      </c>
      <c r="K457" s="36" t="s">
        <v>605</v>
      </c>
      <c r="L457" s="37">
        <v>2000</v>
      </c>
      <c r="M457" s="271">
        <v>2000</v>
      </c>
      <c r="N457" s="34"/>
      <c r="O457" s="34"/>
      <c r="P457" s="272" t="s">
        <v>1034</v>
      </c>
    </row>
    <row r="458" spans="1:16" x14ac:dyDescent="0.25">
      <c r="A458" s="270" t="s">
        <v>411</v>
      </c>
      <c r="B458" s="31" t="s">
        <v>410</v>
      </c>
      <c r="C458" s="31" t="s">
        <v>418</v>
      </c>
      <c r="D458" s="31" t="s">
        <v>434</v>
      </c>
      <c r="E458" s="31" t="s">
        <v>193</v>
      </c>
      <c r="F458" s="35" t="s">
        <v>435</v>
      </c>
      <c r="G458" s="33" t="s">
        <v>515</v>
      </c>
      <c r="H458" s="33" t="s">
        <v>603</v>
      </c>
      <c r="I458" s="36" t="s">
        <v>553</v>
      </c>
      <c r="J458" s="36" t="s">
        <v>581</v>
      </c>
      <c r="K458" s="36" t="s">
        <v>605</v>
      </c>
      <c r="L458" s="37">
        <v>1549.37</v>
      </c>
      <c r="M458" s="271">
        <v>1125</v>
      </c>
      <c r="N458" s="34"/>
      <c r="O458" s="34"/>
      <c r="P458" s="272" t="s">
        <v>1036</v>
      </c>
    </row>
    <row r="459" spans="1:16" x14ac:dyDescent="0.25">
      <c r="A459" s="270" t="s">
        <v>411</v>
      </c>
      <c r="B459" s="31" t="s">
        <v>410</v>
      </c>
      <c r="C459" s="31" t="s">
        <v>418</v>
      </c>
      <c r="D459" s="31" t="s">
        <v>434</v>
      </c>
      <c r="E459" s="31" t="s">
        <v>193</v>
      </c>
      <c r="F459" s="35" t="s">
        <v>435</v>
      </c>
      <c r="G459" s="33" t="s">
        <v>867</v>
      </c>
      <c r="H459" s="33" t="s">
        <v>603</v>
      </c>
      <c r="I459" s="36" t="s">
        <v>553</v>
      </c>
      <c r="J459" s="36" t="s">
        <v>581</v>
      </c>
      <c r="K459" s="36" t="s">
        <v>1038</v>
      </c>
      <c r="L459" s="37">
        <v>1407.52</v>
      </c>
      <c r="M459" s="271">
        <v>15235</v>
      </c>
      <c r="N459" s="34"/>
      <c r="O459" s="34"/>
      <c r="P459" s="272" t="s">
        <v>1037</v>
      </c>
    </row>
    <row r="460" spans="1:16" x14ac:dyDescent="0.25">
      <c r="A460" s="270" t="s">
        <v>411</v>
      </c>
      <c r="B460" s="31" t="s">
        <v>410</v>
      </c>
      <c r="C460" s="31" t="s">
        <v>418</v>
      </c>
      <c r="D460" s="31" t="s">
        <v>434</v>
      </c>
      <c r="E460" s="31" t="s">
        <v>193</v>
      </c>
      <c r="F460" s="35" t="s">
        <v>435</v>
      </c>
      <c r="G460" s="33" t="s">
        <v>545</v>
      </c>
      <c r="H460" s="33" t="s">
        <v>603</v>
      </c>
      <c r="I460" s="36" t="s">
        <v>553</v>
      </c>
      <c r="J460" s="36" t="s">
        <v>582</v>
      </c>
      <c r="K460" s="36" t="s">
        <v>902</v>
      </c>
      <c r="L460" s="37">
        <v>1540.62</v>
      </c>
      <c r="M460" s="271">
        <v>1525</v>
      </c>
      <c r="N460" s="34"/>
      <c r="O460" s="34"/>
      <c r="P460" s="272" t="s">
        <v>1020</v>
      </c>
    </row>
    <row r="461" spans="1:16" x14ac:dyDescent="0.25">
      <c r="A461" s="270" t="s">
        <v>411</v>
      </c>
      <c r="B461" s="31" t="s">
        <v>410</v>
      </c>
      <c r="C461" s="31" t="s">
        <v>418</v>
      </c>
      <c r="D461" s="31" t="s">
        <v>434</v>
      </c>
      <c r="E461" s="31" t="s">
        <v>193</v>
      </c>
      <c r="F461" s="35" t="s">
        <v>435</v>
      </c>
      <c r="G461" s="33" t="s">
        <v>926</v>
      </c>
      <c r="H461" s="33" t="s">
        <v>603</v>
      </c>
      <c r="I461" s="36" t="s">
        <v>553</v>
      </c>
      <c r="J461" s="36" t="s">
        <v>582</v>
      </c>
      <c r="K461" s="36" t="s">
        <v>902</v>
      </c>
      <c r="L461" s="37">
        <v>570.52</v>
      </c>
      <c r="M461" s="271">
        <v>560</v>
      </c>
      <c r="N461" s="34"/>
      <c r="O461" s="34" t="s">
        <v>926</v>
      </c>
      <c r="P461" s="272" t="s">
        <v>1053</v>
      </c>
    </row>
    <row r="462" spans="1:16" x14ac:dyDescent="0.25">
      <c r="A462" s="270" t="s">
        <v>411</v>
      </c>
      <c r="B462" s="31" t="s">
        <v>410</v>
      </c>
      <c r="C462" s="31" t="s">
        <v>418</v>
      </c>
      <c r="D462" s="31" t="s">
        <v>434</v>
      </c>
      <c r="E462" s="31" t="s">
        <v>193</v>
      </c>
      <c r="F462" s="35" t="s">
        <v>435</v>
      </c>
      <c r="G462" s="33" t="s">
        <v>929</v>
      </c>
      <c r="H462" s="33" t="s">
        <v>602</v>
      </c>
      <c r="I462" s="36" t="s">
        <v>553</v>
      </c>
      <c r="J462" s="36" t="s">
        <v>582</v>
      </c>
      <c r="K462" s="36" t="s">
        <v>902</v>
      </c>
      <c r="L462" s="37">
        <v>1799.95</v>
      </c>
      <c r="M462" s="271">
        <v>1530</v>
      </c>
      <c r="N462" s="34" t="s">
        <v>929</v>
      </c>
      <c r="O462" s="34" t="s">
        <v>1005</v>
      </c>
      <c r="P462" s="272" t="s">
        <v>1011</v>
      </c>
    </row>
    <row r="463" spans="1:16" x14ac:dyDescent="0.25">
      <c r="A463" s="270" t="s">
        <v>411</v>
      </c>
      <c r="B463" s="31" t="s">
        <v>410</v>
      </c>
      <c r="C463" s="31" t="s">
        <v>418</v>
      </c>
      <c r="D463" s="31" t="s">
        <v>434</v>
      </c>
      <c r="E463" s="31" t="s">
        <v>193</v>
      </c>
      <c r="F463" s="35" t="s">
        <v>435</v>
      </c>
      <c r="G463" s="33" t="s">
        <v>929</v>
      </c>
      <c r="H463" s="33" t="s">
        <v>602</v>
      </c>
      <c r="I463" s="36" t="s">
        <v>553</v>
      </c>
      <c r="J463" s="36" t="s">
        <v>582</v>
      </c>
      <c r="K463" s="36" t="s">
        <v>1010</v>
      </c>
      <c r="L463" s="37">
        <v>1065.6500000000001</v>
      </c>
      <c r="M463" s="271">
        <v>790</v>
      </c>
      <c r="N463" s="34" t="s">
        <v>929</v>
      </c>
      <c r="O463" s="34" t="s">
        <v>1010</v>
      </c>
      <c r="P463" s="272" t="s">
        <v>1014</v>
      </c>
    </row>
    <row r="464" spans="1:16" x14ac:dyDescent="0.25">
      <c r="A464" s="270" t="s">
        <v>411</v>
      </c>
      <c r="B464" s="31" t="s">
        <v>410</v>
      </c>
      <c r="C464" s="31" t="s">
        <v>418</v>
      </c>
      <c r="D464" s="31" t="s">
        <v>434</v>
      </c>
      <c r="E464" s="31" t="s">
        <v>193</v>
      </c>
      <c r="F464" s="35" t="s">
        <v>435</v>
      </c>
      <c r="G464" s="33" t="s">
        <v>520</v>
      </c>
      <c r="H464" s="33" t="s">
        <v>603</v>
      </c>
      <c r="I464" s="36" t="s">
        <v>553</v>
      </c>
      <c r="J464" s="36" t="s">
        <v>881</v>
      </c>
      <c r="K464" s="36" t="s">
        <v>903</v>
      </c>
      <c r="L464" s="37">
        <v>540.62</v>
      </c>
      <c r="M464" s="271">
        <v>2075</v>
      </c>
      <c r="N464" s="34"/>
      <c r="O464" s="34"/>
      <c r="P464" s="272" t="s">
        <v>1043</v>
      </c>
    </row>
    <row r="465" spans="1:16" x14ac:dyDescent="0.25">
      <c r="A465" s="270" t="s">
        <v>411</v>
      </c>
      <c r="B465" s="31" t="s">
        <v>410</v>
      </c>
      <c r="C465" s="31" t="s">
        <v>418</v>
      </c>
      <c r="D465" s="31" t="s">
        <v>434</v>
      </c>
      <c r="E465" s="31" t="s">
        <v>193</v>
      </c>
      <c r="F465" s="35" t="s">
        <v>435</v>
      </c>
      <c r="G465" s="33" t="s">
        <v>498</v>
      </c>
      <c r="H465" s="33" t="s">
        <v>603</v>
      </c>
      <c r="I465" s="36" t="s">
        <v>555</v>
      </c>
      <c r="J465" s="36" t="s">
        <v>579</v>
      </c>
      <c r="K465" s="36" t="s">
        <v>587</v>
      </c>
      <c r="L465" s="37">
        <v>1000</v>
      </c>
      <c r="M465" s="271">
        <v>930</v>
      </c>
      <c r="N465" s="34"/>
      <c r="O465" s="34"/>
      <c r="P465" s="272" t="s">
        <v>1001</v>
      </c>
    </row>
    <row r="466" spans="1:16" x14ac:dyDescent="0.25">
      <c r="A466" s="270" t="s">
        <v>411</v>
      </c>
      <c r="B466" s="31" t="s">
        <v>410</v>
      </c>
      <c r="C466" s="31" t="s">
        <v>418</v>
      </c>
      <c r="D466" s="31" t="s">
        <v>434</v>
      </c>
      <c r="E466" s="31" t="s">
        <v>193</v>
      </c>
      <c r="F466" s="35" t="s">
        <v>435</v>
      </c>
      <c r="G466" s="33" t="s">
        <v>929</v>
      </c>
      <c r="H466" s="33" t="s">
        <v>602</v>
      </c>
      <c r="I466" s="36" t="s">
        <v>555</v>
      </c>
      <c r="J466" s="36" t="s">
        <v>579</v>
      </c>
      <c r="K466" s="36" t="s">
        <v>935</v>
      </c>
      <c r="L466" s="37">
        <f>2*4676.9</f>
        <v>9353.7999999999993</v>
      </c>
      <c r="M466" s="271">
        <f>2*4360</f>
        <v>8720</v>
      </c>
      <c r="N466" s="34" t="s">
        <v>929</v>
      </c>
      <c r="O466" s="34" t="s">
        <v>936</v>
      </c>
      <c r="P466" s="272" t="s">
        <v>945</v>
      </c>
    </row>
    <row r="467" spans="1:16" x14ac:dyDescent="0.25">
      <c r="A467" s="270" t="s">
        <v>411</v>
      </c>
      <c r="B467" s="31" t="s">
        <v>410</v>
      </c>
      <c r="C467" s="31" t="s">
        <v>418</v>
      </c>
      <c r="D467" s="31" t="s">
        <v>434</v>
      </c>
      <c r="E467" s="31" t="s">
        <v>193</v>
      </c>
      <c r="F467" s="35" t="s">
        <v>435</v>
      </c>
      <c r="G467" s="33" t="s">
        <v>929</v>
      </c>
      <c r="H467" s="33" t="s">
        <v>602</v>
      </c>
      <c r="I467" s="36" t="s">
        <v>555</v>
      </c>
      <c r="J467" s="36" t="s">
        <v>579</v>
      </c>
      <c r="K467" s="36" t="s">
        <v>935</v>
      </c>
      <c r="L467" s="37">
        <v>7176.3</v>
      </c>
      <c r="M467" s="271">
        <v>5680</v>
      </c>
      <c r="N467" s="34" t="s">
        <v>929</v>
      </c>
      <c r="O467" s="34" t="s">
        <v>947</v>
      </c>
      <c r="P467" s="272" t="s">
        <v>946</v>
      </c>
    </row>
    <row r="468" spans="1:16" x14ac:dyDescent="0.25">
      <c r="A468" s="270" t="s">
        <v>411</v>
      </c>
      <c r="B468" s="31" t="s">
        <v>410</v>
      </c>
      <c r="C468" s="31" t="s">
        <v>418</v>
      </c>
      <c r="D468" s="31" t="s">
        <v>434</v>
      </c>
      <c r="E468" s="31" t="s">
        <v>193</v>
      </c>
      <c r="F468" s="35" t="s">
        <v>435</v>
      </c>
      <c r="G468" s="33" t="s">
        <v>501</v>
      </c>
      <c r="H468" s="33" t="s">
        <v>603</v>
      </c>
      <c r="I468" s="36" t="s">
        <v>555</v>
      </c>
      <c r="J468" s="36" t="s">
        <v>577</v>
      </c>
      <c r="K468" s="36" t="s">
        <v>1059</v>
      </c>
      <c r="L468" s="37">
        <v>974.15</v>
      </c>
      <c r="M468" s="271">
        <v>6930</v>
      </c>
      <c r="N468" s="34"/>
      <c r="O468" s="34" t="s">
        <v>1061</v>
      </c>
      <c r="P468" s="272" t="s">
        <v>1060</v>
      </c>
    </row>
    <row r="469" spans="1:16" x14ac:dyDescent="0.25">
      <c r="A469" s="270" t="s">
        <v>411</v>
      </c>
      <c r="B469" s="31" t="s">
        <v>410</v>
      </c>
      <c r="C469" s="31" t="s">
        <v>418</v>
      </c>
      <c r="D469" s="31" t="s">
        <v>434</v>
      </c>
      <c r="E469" s="31" t="s">
        <v>193</v>
      </c>
      <c r="F469" s="35" t="s">
        <v>435</v>
      </c>
      <c r="G469" s="33" t="s">
        <v>1082</v>
      </c>
      <c r="H469" s="33" t="s">
        <v>603</v>
      </c>
      <c r="I469" s="36" t="s">
        <v>555</v>
      </c>
      <c r="J469" s="36" t="s">
        <v>577</v>
      </c>
      <c r="K469" s="36" t="s">
        <v>1059</v>
      </c>
      <c r="L469" s="37">
        <v>0</v>
      </c>
      <c r="M469" s="271">
        <v>0</v>
      </c>
      <c r="N469" s="34"/>
      <c r="O469" s="34" t="s">
        <v>1083</v>
      </c>
      <c r="P469" s="272" t="s">
        <v>1084</v>
      </c>
    </row>
    <row r="470" spans="1:16" x14ac:dyDescent="0.25">
      <c r="A470" s="270" t="s">
        <v>411</v>
      </c>
      <c r="B470" s="31" t="s">
        <v>410</v>
      </c>
      <c r="C470" s="31" t="s">
        <v>418</v>
      </c>
      <c r="D470" s="31" t="s">
        <v>434</v>
      </c>
      <c r="E470" s="31" t="s">
        <v>193</v>
      </c>
      <c r="F470" s="35" t="s">
        <v>435</v>
      </c>
      <c r="G470" s="33" t="s">
        <v>1067</v>
      </c>
      <c r="H470" s="33" t="s">
        <v>603</v>
      </c>
      <c r="I470" s="36" t="s">
        <v>555</v>
      </c>
      <c r="J470" s="36" t="s">
        <v>577</v>
      </c>
      <c r="K470" s="36" t="s">
        <v>589</v>
      </c>
      <c r="L470" s="37">
        <v>4000</v>
      </c>
      <c r="M470" s="271">
        <v>80000</v>
      </c>
      <c r="N470" s="34"/>
      <c r="O470" s="34" t="s">
        <v>1076</v>
      </c>
      <c r="P470" s="272" t="s">
        <v>1073</v>
      </c>
    </row>
    <row r="471" spans="1:16" x14ac:dyDescent="0.25">
      <c r="A471" s="270" t="s">
        <v>411</v>
      </c>
      <c r="B471" s="31" t="s">
        <v>410</v>
      </c>
      <c r="C471" s="31" t="s">
        <v>418</v>
      </c>
      <c r="D471" s="31" t="s">
        <v>434</v>
      </c>
      <c r="E471" s="31" t="s">
        <v>193</v>
      </c>
      <c r="F471" s="35" t="s">
        <v>435</v>
      </c>
      <c r="G471" s="33" t="s">
        <v>1077</v>
      </c>
      <c r="H471" s="33" t="s">
        <v>603</v>
      </c>
      <c r="I471" s="36" t="s">
        <v>555</v>
      </c>
      <c r="J471" s="36" t="s">
        <v>577</v>
      </c>
      <c r="K471" s="36" t="s">
        <v>509</v>
      </c>
      <c r="L471" s="37">
        <v>0</v>
      </c>
      <c r="M471" s="271">
        <v>1270</v>
      </c>
      <c r="N471" s="34"/>
      <c r="O471" s="34" t="s">
        <v>1078</v>
      </c>
      <c r="P471" s="272" t="s">
        <v>1079</v>
      </c>
    </row>
    <row r="472" spans="1:16" x14ac:dyDescent="0.25">
      <c r="A472" s="270" t="s">
        <v>411</v>
      </c>
      <c r="B472" s="31" t="s">
        <v>410</v>
      </c>
      <c r="C472" s="31" t="s">
        <v>418</v>
      </c>
      <c r="D472" s="31" t="s">
        <v>434</v>
      </c>
      <c r="E472" s="31" t="s">
        <v>193</v>
      </c>
      <c r="F472" s="35" t="s">
        <v>435</v>
      </c>
      <c r="G472" s="33" t="s">
        <v>1068</v>
      </c>
      <c r="H472" s="33" t="s">
        <v>603</v>
      </c>
      <c r="I472" s="36" t="s">
        <v>555</v>
      </c>
      <c r="J472" s="36" t="s">
        <v>577</v>
      </c>
      <c r="K472" s="36" t="s">
        <v>510</v>
      </c>
      <c r="L472" s="37">
        <v>0</v>
      </c>
      <c r="M472" s="271">
        <v>0</v>
      </c>
      <c r="N472" s="34"/>
      <c r="O472" s="34" t="s">
        <v>1070</v>
      </c>
      <c r="P472" s="272" t="s">
        <v>1069</v>
      </c>
    </row>
    <row r="473" spans="1:16" x14ac:dyDescent="0.25">
      <c r="A473" s="270" t="s">
        <v>411</v>
      </c>
      <c r="B473" s="31" t="s">
        <v>410</v>
      </c>
      <c r="C473" s="31" t="s">
        <v>418</v>
      </c>
      <c r="D473" s="31" t="s">
        <v>434</v>
      </c>
      <c r="E473" s="31" t="s">
        <v>193</v>
      </c>
      <c r="F473" s="35" t="s">
        <v>435</v>
      </c>
      <c r="G473" s="33" t="s">
        <v>876</v>
      </c>
      <c r="H473" s="33" t="s">
        <v>603</v>
      </c>
      <c r="I473" s="36" t="s">
        <v>555</v>
      </c>
      <c r="J473" s="36" t="s">
        <v>577</v>
      </c>
      <c r="K473" s="36" t="s">
        <v>1029</v>
      </c>
      <c r="L473" s="37">
        <v>338.45</v>
      </c>
      <c r="M473" s="271">
        <v>330</v>
      </c>
      <c r="N473" s="34"/>
      <c r="O473" s="34"/>
      <c r="P473" s="272" t="s">
        <v>1030</v>
      </c>
    </row>
    <row r="474" spans="1:16" x14ac:dyDescent="0.25">
      <c r="A474" s="270" t="s">
        <v>411</v>
      </c>
      <c r="B474" s="31" t="s">
        <v>410</v>
      </c>
      <c r="C474" s="31" t="s">
        <v>418</v>
      </c>
      <c r="D474" s="31" t="s">
        <v>434</v>
      </c>
      <c r="E474" s="31" t="s">
        <v>193</v>
      </c>
      <c r="F474" s="35" t="s">
        <v>435</v>
      </c>
      <c r="G474" s="33" t="s">
        <v>575</v>
      </c>
      <c r="H474" s="33" t="s">
        <v>603</v>
      </c>
      <c r="I474" s="36" t="s">
        <v>555</v>
      </c>
      <c r="J474" s="36" t="s">
        <v>577</v>
      </c>
      <c r="K474" s="36" t="s">
        <v>1029</v>
      </c>
      <c r="L474" s="37">
        <v>2801.27</v>
      </c>
      <c r="M474" s="271">
        <v>4505</v>
      </c>
      <c r="N474" s="34"/>
      <c r="O474" s="34"/>
      <c r="P474" s="272" t="s">
        <v>1031</v>
      </c>
    </row>
    <row r="475" spans="1:16" x14ac:dyDescent="0.25">
      <c r="A475" s="270" t="s">
        <v>411</v>
      </c>
      <c r="B475" s="31" t="s">
        <v>410</v>
      </c>
      <c r="C475" s="31" t="s">
        <v>418</v>
      </c>
      <c r="D475" s="31" t="s">
        <v>434</v>
      </c>
      <c r="E475" s="31" t="s">
        <v>193</v>
      </c>
      <c r="F475" s="35" t="s">
        <v>435</v>
      </c>
      <c r="G475" s="33" t="s">
        <v>1066</v>
      </c>
      <c r="H475" s="33" t="s">
        <v>603</v>
      </c>
      <c r="I475" s="36" t="s">
        <v>555</v>
      </c>
      <c r="J475" s="36" t="s">
        <v>577</v>
      </c>
      <c r="K475" s="36" t="s">
        <v>996</v>
      </c>
      <c r="L475" s="37">
        <v>0</v>
      </c>
      <c r="M475" s="271">
        <v>0</v>
      </c>
      <c r="N475" s="34"/>
      <c r="O475" s="34" t="s">
        <v>1063</v>
      </c>
      <c r="P475" s="272" t="s">
        <v>1064</v>
      </c>
    </row>
    <row r="476" spans="1:16" x14ac:dyDescent="0.25">
      <c r="A476" s="270" t="s">
        <v>411</v>
      </c>
      <c r="B476" s="31" t="s">
        <v>410</v>
      </c>
      <c r="C476" s="31" t="s">
        <v>418</v>
      </c>
      <c r="D476" s="31" t="s">
        <v>434</v>
      </c>
      <c r="E476" s="31" t="s">
        <v>193</v>
      </c>
      <c r="F476" s="35" t="s">
        <v>435</v>
      </c>
      <c r="G476" s="33" t="s">
        <v>554</v>
      </c>
      <c r="H476" s="33" t="s">
        <v>603</v>
      </c>
      <c r="I476" s="36" t="s">
        <v>555</v>
      </c>
      <c r="J476" s="36" t="s">
        <v>577</v>
      </c>
      <c r="K476" s="36" t="s">
        <v>554</v>
      </c>
      <c r="L476" s="37">
        <v>100000</v>
      </c>
      <c r="M476" s="271">
        <v>50000</v>
      </c>
      <c r="N476" s="34"/>
      <c r="O476" s="34" t="s">
        <v>554</v>
      </c>
      <c r="P476" s="272" t="s">
        <v>1193</v>
      </c>
    </row>
    <row r="477" spans="1:16" x14ac:dyDescent="0.25">
      <c r="A477" s="270" t="s">
        <v>411</v>
      </c>
      <c r="B477" s="31" t="s">
        <v>410</v>
      </c>
      <c r="C477" s="31" t="s">
        <v>418</v>
      </c>
      <c r="D477" s="31" t="s">
        <v>434</v>
      </c>
      <c r="E477" s="31" t="s">
        <v>193</v>
      </c>
      <c r="F477" s="35" t="s">
        <v>435</v>
      </c>
      <c r="G477" s="33" t="s">
        <v>1117</v>
      </c>
      <c r="H477" s="33" t="s">
        <v>603</v>
      </c>
      <c r="I477" s="36" t="s">
        <v>555</v>
      </c>
      <c r="J477" s="36" t="s">
        <v>578</v>
      </c>
      <c r="K477" s="36" t="s">
        <v>1118</v>
      </c>
      <c r="L477" s="37">
        <v>19624.689999999999</v>
      </c>
      <c r="M477" s="271">
        <v>47500</v>
      </c>
      <c r="N477" s="34"/>
      <c r="O477" s="34" t="s">
        <v>1119</v>
      </c>
      <c r="P477" s="272" t="s">
        <v>1120</v>
      </c>
    </row>
    <row r="478" spans="1:16" x14ac:dyDescent="0.25">
      <c r="A478" s="270" t="s">
        <v>411</v>
      </c>
      <c r="B478" s="31" t="s">
        <v>410</v>
      </c>
      <c r="C478" s="31" t="s">
        <v>418</v>
      </c>
      <c r="D478" s="31" t="s">
        <v>434</v>
      </c>
      <c r="E478" s="31" t="s">
        <v>193</v>
      </c>
      <c r="F478" s="35" t="s">
        <v>435</v>
      </c>
      <c r="G478" s="33" t="s">
        <v>527</v>
      </c>
      <c r="H478" s="33" t="s">
        <v>603</v>
      </c>
      <c r="I478" s="36" t="s">
        <v>555</v>
      </c>
      <c r="J478" s="36" t="s">
        <v>578</v>
      </c>
      <c r="K478" s="36" t="s">
        <v>604</v>
      </c>
      <c r="L478" s="37">
        <v>1540.62</v>
      </c>
      <c r="M478" s="271">
        <v>1525</v>
      </c>
      <c r="N478" s="34"/>
      <c r="O478" s="34"/>
      <c r="P478" s="272" t="s">
        <v>1021</v>
      </c>
    </row>
    <row r="479" spans="1:16" x14ac:dyDescent="0.25">
      <c r="A479" s="270" t="s">
        <v>411</v>
      </c>
      <c r="B479" s="31" t="s">
        <v>410</v>
      </c>
      <c r="C479" s="31" t="s">
        <v>418</v>
      </c>
      <c r="D479" s="31" t="s">
        <v>434</v>
      </c>
      <c r="E479" s="31" t="s">
        <v>193</v>
      </c>
      <c r="F479" s="35" t="s">
        <v>435</v>
      </c>
      <c r="G479" s="33" t="s">
        <v>929</v>
      </c>
      <c r="H479" s="33" t="s">
        <v>602</v>
      </c>
      <c r="I479" s="36" t="s">
        <v>555</v>
      </c>
      <c r="J479" s="36" t="s">
        <v>578</v>
      </c>
      <c r="K479" s="36" t="s">
        <v>571</v>
      </c>
      <c r="L479" s="37">
        <v>1298.2</v>
      </c>
      <c r="M479" s="271">
        <v>1300</v>
      </c>
      <c r="N479" s="34" t="s">
        <v>929</v>
      </c>
      <c r="O479" s="34" t="s">
        <v>930</v>
      </c>
      <c r="P479" s="272" t="s">
        <v>928</v>
      </c>
    </row>
    <row r="480" spans="1:16" x14ac:dyDescent="0.25">
      <c r="A480" s="270" t="s">
        <v>411</v>
      </c>
      <c r="B480" s="31" t="s">
        <v>410</v>
      </c>
      <c r="C480" s="31" t="s">
        <v>418</v>
      </c>
      <c r="D480" s="31" t="s">
        <v>434</v>
      </c>
      <c r="E480" s="31" t="s">
        <v>193</v>
      </c>
      <c r="F480" s="35" t="s">
        <v>435</v>
      </c>
      <c r="G480" s="33" t="s">
        <v>929</v>
      </c>
      <c r="H480" s="33" t="s">
        <v>602</v>
      </c>
      <c r="I480" s="36" t="s">
        <v>555</v>
      </c>
      <c r="J480" s="36" t="s">
        <v>578</v>
      </c>
      <c r="K480" s="36" t="s">
        <v>571</v>
      </c>
      <c r="L480" s="37">
        <v>4676.8999999999996</v>
      </c>
      <c r="M480" s="271">
        <v>4360</v>
      </c>
      <c r="N480" s="34" t="s">
        <v>929</v>
      </c>
      <c r="O480" s="34" t="s">
        <v>931</v>
      </c>
      <c r="P480" s="272" t="s">
        <v>927</v>
      </c>
    </row>
    <row r="481" spans="1:16" x14ac:dyDescent="0.25">
      <c r="A481" s="270" t="s">
        <v>411</v>
      </c>
      <c r="B481" s="31" t="s">
        <v>410</v>
      </c>
      <c r="C481" s="31" t="s">
        <v>418</v>
      </c>
      <c r="D481" s="31" t="s">
        <v>434</v>
      </c>
      <c r="E481" s="31" t="s">
        <v>193</v>
      </c>
      <c r="F481" s="35" t="s">
        <v>435</v>
      </c>
      <c r="G481" s="33" t="s">
        <v>929</v>
      </c>
      <c r="H481" s="33" t="s">
        <v>602</v>
      </c>
      <c r="I481" s="36" t="s">
        <v>555</v>
      </c>
      <c r="J481" s="36" t="s">
        <v>578</v>
      </c>
      <c r="K481" s="36" t="s">
        <v>571</v>
      </c>
      <c r="L481" s="37">
        <v>0</v>
      </c>
      <c r="M481" s="271">
        <v>600</v>
      </c>
      <c r="N481" s="34" t="s">
        <v>929</v>
      </c>
      <c r="O481" s="34" t="s">
        <v>933</v>
      </c>
      <c r="P481" s="272" t="s">
        <v>934</v>
      </c>
    </row>
    <row r="482" spans="1:16" x14ac:dyDescent="0.25">
      <c r="A482" s="270" t="s">
        <v>411</v>
      </c>
      <c r="B482" s="31" t="s">
        <v>410</v>
      </c>
      <c r="C482" s="31" t="s">
        <v>418</v>
      </c>
      <c r="D482" s="31" t="s">
        <v>434</v>
      </c>
      <c r="E482" s="31" t="s">
        <v>193</v>
      </c>
      <c r="F482" s="35" t="s">
        <v>435</v>
      </c>
      <c r="G482" s="33" t="s">
        <v>929</v>
      </c>
      <c r="H482" s="33" t="s">
        <v>602</v>
      </c>
      <c r="I482" s="36" t="s">
        <v>555</v>
      </c>
      <c r="J482" s="36" t="s">
        <v>578</v>
      </c>
      <c r="K482" s="36" t="s">
        <v>949</v>
      </c>
      <c r="L482" s="37">
        <v>4676.8999999999996</v>
      </c>
      <c r="M482" s="271">
        <v>4360</v>
      </c>
      <c r="N482" s="34" t="s">
        <v>929</v>
      </c>
      <c r="O482" s="34" t="s">
        <v>949</v>
      </c>
      <c r="P482" s="272" t="s">
        <v>953</v>
      </c>
    </row>
    <row r="483" spans="1:16" x14ac:dyDescent="0.25">
      <c r="A483" s="270" t="s">
        <v>411</v>
      </c>
      <c r="B483" s="31" t="s">
        <v>410</v>
      </c>
      <c r="C483" s="31" t="s">
        <v>418</v>
      </c>
      <c r="D483" s="31" t="s">
        <v>434</v>
      </c>
      <c r="E483" s="31" t="s">
        <v>193</v>
      </c>
      <c r="F483" s="35" t="s">
        <v>435</v>
      </c>
      <c r="G483" s="33" t="s">
        <v>1112</v>
      </c>
      <c r="H483" s="33" t="s">
        <v>603</v>
      </c>
      <c r="I483" s="36" t="s">
        <v>555</v>
      </c>
      <c r="J483" s="36" t="s">
        <v>578</v>
      </c>
      <c r="K483" s="36" t="s">
        <v>1113</v>
      </c>
      <c r="L483" s="37">
        <v>0</v>
      </c>
      <c r="M483" s="271">
        <v>0</v>
      </c>
      <c r="N483" s="34"/>
      <c r="O483" s="34" t="s">
        <v>1114</v>
      </c>
      <c r="P483" s="272" t="s">
        <v>1116</v>
      </c>
    </row>
    <row r="484" spans="1:16" x14ac:dyDescent="0.25">
      <c r="A484" s="270" t="s">
        <v>411</v>
      </c>
      <c r="B484" s="31" t="s">
        <v>410</v>
      </c>
      <c r="C484" s="31" t="s">
        <v>418</v>
      </c>
      <c r="D484" s="31" t="s">
        <v>434</v>
      </c>
      <c r="E484" s="31" t="s">
        <v>193</v>
      </c>
      <c r="F484" s="35" t="s">
        <v>435</v>
      </c>
      <c r="G484" s="33" t="s">
        <v>1092</v>
      </c>
      <c r="H484" s="33" t="s">
        <v>603</v>
      </c>
      <c r="I484" s="36" t="s">
        <v>555</v>
      </c>
      <c r="J484" s="36" t="s">
        <v>875</v>
      </c>
      <c r="K484" s="36" t="s">
        <v>1093</v>
      </c>
      <c r="L484" s="37">
        <v>0</v>
      </c>
      <c r="M484" s="271">
        <v>0</v>
      </c>
      <c r="N484" s="34"/>
      <c r="O484" s="34" t="s">
        <v>1094</v>
      </c>
      <c r="P484" s="272" t="s">
        <v>1103</v>
      </c>
    </row>
    <row r="485" spans="1:16" x14ac:dyDescent="0.25">
      <c r="A485" s="270" t="s">
        <v>411</v>
      </c>
      <c r="B485" s="31" t="s">
        <v>410</v>
      </c>
      <c r="C485" s="31" t="s">
        <v>418</v>
      </c>
      <c r="D485" s="31" t="s">
        <v>434</v>
      </c>
      <c r="E485" s="31" t="s">
        <v>193</v>
      </c>
      <c r="F485" s="35" t="s">
        <v>435</v>
      </c>
      <c r="G485" s="33" t="s">
        <v>1107</v>
      </c>
      <c r="H485" s="33" t="s">
        <v>603</v>
      </c>
      <c r="I485" s="36" t="s">
        <v>555</v>
      </c>
      <c r="J485" s="36" t="s">
        <v>875</v>
      </c>
      <c r="K485" s="36" t="s">
        <v>1093</v>
      </c>
      <c r="L485" s="37">
        <v>0</v>
      </c>
      <c r="M485" s="271">
        <v>1500</v>
      </c>
      <c r="N485" s="34"/>
      <c r="O485" s="34" t="s">
        <v>1108</v>
      </c>
      <c r="P485" s="272" t="s">
        <v>1109</v>
      </c>
    </row>
    <row r="486" spans="1:16" x14ac:dyDescent="0.25">
      <c r="A486" s="270" t="s">
        <v>411</v>
      </c>
      <c r="B486" s="31" t="s">
        <v>410</v>
      </c>
      <c r="C486" s="31" t="s">
        <v>418</v>
      </c>
      <c r="D486" s="31" t="s">
        <v>434</v>
      </c>
      <c r="E486" s="31" t="s">
        <v>193</v>
      </c>
      <c r="F486" s="35" t="s">
        <v>435</v>
      </c>
      <c r="G486" s="33" t="s">
        <v>1092</v>
      </c>
      <c r="H486" s="33" t="s">
        <v>603</v>
      </c>
      <c r="I486" s="36" t="s">
        <v>555</v>
      </c>
      <c r="J486" s="36" t="s">
        <v>875</v>
      </c>
      <c r="K486" s="36" t="s">
        <v>1093</v>
      </c>
      <c r="L486" s="37">
        <v>0</v>
      </c>
      <c r="M486" s="271">
        <v>0</v>
      </c>
      <c r="N486" s="34"/>
      <c r="O486" s="34" t="s">
        <v>1096</v>
      </c>
      <c r="P486" s="272" t="s">
        <v>1097</v>
      </c>
    </row>
    <row r="487" spans="1:16" x14ac:dyDescent="0.25">
      <c r="A487" s="270" t="s">
        <v>411</v>
      </c>
      <c r="B487" s="31" t="s">
        <v>410</v>
      </c>
      <c r="C487" s="31" t="s">
        <v>418</v>
      </c>
      <c r="D487" s="31" t="s">
        <v>434</v>
      </c>
      <c r="E487" s="31" t="s">
        <v>193</v>
      </c>
      <c r="F487" s="35" t="s">
        <v>435</v>
      </c>
      <c r="G487" s="33" t="s">
        <v>1092</v>
      </c>
      <c r="H487" s="33" t="s">
        <v>603</v>
      </c>
      <c r="I487" s="36" t="s">
        <v>555</v>
      </c>
      <c r="J487" s="36" t="s">
        <v>875</v>
      </c>
      <c r="K487" s="36" t="s">
        <v>1093</v>
      </c>
      <c r="L487" s="37">
        <v>0</v>
      </c>
      <c r="M487" s="271">
        <v>5000</v>
      </c>
      <c r="N487" s="34"/>
      <c r="O487" s="34" t="s">
        <v>1099</v>
      </c>
      <c r="P487" s="272" t="s">
        <v>1106</v>
      </c>
    </row>
    <row r="488" spans="1:16" x14ac:dyDescent="0.25">
      <c r="A488" s="270" t="s">
        <v>411</v>
      </c>
      <c r="B488" s="31" t="s">
        <v>410</v>
      </c>
      <c r="C488" s="31" t="s">
        <v>418</v>
      </c>
      <c r="D488" s="31" t="s">
        <v>434</v>
      </c>
      <c r="E488" s="31" t="s">
        <v>193</v>
      </c>
      <c r="F488" s="35" t="s">
        <v>435</v>
      </c>
      <c r="G488" s="33" t="s">
        <v>1163</v>
      </c>
      <c r="H488" s="33" t="s">
        <v>603</v>
      </c>
      <c r="I488" s="36" t="s">
        <v>555</v>
      </c>
      <c r="J488" s="36" t="s">
        <v>875</v>
      </c>
      <c r="K488" s="36" t="s">
        <v>590</v>
      </c>
      <c r="L488" s="37">
        <v>0</v>
      </c>
      <c r="M488" s="271">
        <v>0</v>
      </c>
      <c r="N488" s="34"/>
      <c r="O488" s="34" t="s">
        <v>1161</v>
      </c>
      <c r="P488" s="272" t="s">
        <v>1160</v>
      </c>
    </row>
    <row r="489" spans="1:16" x14ac:dyDescent="0.25">
      <c r="A489" s="270" t="s">
        <v>411</v>
      </c>
      <c r="B489" s="31" t="s">
        <v>410</v>
      </c>
      <c r="C489" s="31" t="s">
        <v>418</v>
      </c>
      <c r="D489" s="31" t="s">
        <v>434</v>
      </c>
      <c r="E489" s="31" t="s">
        <v>193</v>
      </c>
      <c r="F489" s="35" t="s">
        <v>435</v>
      </c>
      <c r="G489" s="33" t="s">
        <v>1143</v>
      </c>
      <c r="H489" s="33" t="s">
        <v>603</v>
      </c>
      <c r="I489" s="36" t="s">
        <v>555</v>
      </c>
      <c r="J489" s="36" t="s">
        <v>875</v>
      </c>
      <c r="K489" s="36" t="s">
        <v>508</v>
      </c>
      <c r="L489" s="37">
        <v>700</v>
      </c>
      <c r="M489" s="271">
        <v>1500</v>
      </c>
      <c r="N489" s="34"/>
      <c r="O489" s="34" t="s">
        <v>508</v>
      </c>
      <c r="P489" s="272" t="s">
        <v>1145</v>
      </c>
    </row>
    <row r="490" spans="1:16" x14ac:dyDescent="0.25">
      <c r="A490" s="270" t="s">
        <v>411</v>
      </c>
      <c r="B490" s="31" t="s">
        <v>410</v>
      </c>
      <c r="C490" s="31" t="s">
        <v>418</v>
      </c>
      <c r="D490" s="31" t="s">
        <v>434</v>
      </c>
      <c r="E490" s="31" t="s">
        <v>193</v>
      </c>
      <c r="F490" s="35" t="s">
        <v>435</v>
      </c>
      <c r="G490" s="33" t="s">
        <v>1166</v>
      </c>
      <c r="H490" s="33" t="s">
        <v>603</v>
      </c>
      <c r="I490" s="36" t="s">
        <v>555</v>
      </c>
      <c r="J490" s="36" t="s">
        <v>875</v>
      </c>
      <c r="K490" s="36" t="s">
        <v>519</v>
      </c>
      <c r="L490" s="37">
        <v>0</v>
      </c>
      <c r="M490" s="271">
        <v>0</v>
      </c>
      <c r="N490" s="34"/>
      <c r="O490" s="34" t="s">
        <v>1161</v>
      </c>
      <c r="P490" s="272" t="s">
        <v>1164</v>
      </c>
    </row>
    <row r="491" spans="1:16" x14ac:dyDescent="0.25">
      <c r="A491" s="270" t="s">
        <v>411</v>
      </c>
      <c r="B491" s="31" t="s">
        <v>410</v>
      </c>
      <c r="C491" s="31" t="s">
        <v>418</v>
      </c>
      <c r="D491" s="31" t="s">
        <v>434</v>
      </c>
      <c r="E491" s="31" t="s">
        <v>193</v>
      </c>
      <c r="F491" s="35" t="s">
        <v>435</v>
      </c>
      <c r="G491" s="33" t="s">
        <v>1147</v>
      </c>
      <c r="H491" s="33" t="s">
        <v>603</v>
      </c>
      <c r="I491" s="36" t="s">
        <v>555</v>
      </c>
      <c r="J491" s="36" t="s">
        <v>875</v>
      </c>
      <c r="K491" s="36" t="s">
        <v>517</v>
      </c>
      <c r="L491" s="37">
        <v>20000</v>
      </c>
      <c r="M491" s="271">
        <v>20300</v>
      </c>
      <c r="N491" s="34" t="s">
        <v>973</v>
      </c>
      <c r="O491" s="34" t="s">
        <v>1025</v>
      </c>
      <c r="P491" s="272" t="s">
        <v>1026</v>
      </c>
    </row>
    <row r="492" spans="1:16" x14ac:dyDescent="0.25">
      <c r="A492" s="270" t="s">
        <v>411</v>
      </c>
      <c r="B492" s="31" t="s">
        <v>410</v>
      </c>
      <c r="C492" s="31" t="s">
        <v>418</v>
      </c>
      <c r="D492" s="31" t="s">
        <v>434</v>
      </c>
      <c r="E492" s="31" t="s">
        <v>193</v>
      </c>
      <c r="F492" s="35" t="s">
        <v>435</v>
      </c>
      <c r="G492" s="33" t="s">
        <v>885</v>
      </c>
      <c r="H492" s="33" t="s">
        <v>603</v>
      </c>
      <c r="I492" s="36" t="s">
        <v>555</v>
      </c>
      <c r="J492" s="36" t="s">
        <v>875</v>
      </c>
      <c r="K492" s="36" t="s">
        <v>1045</v>
      </c>
      <c r="L492" s="37">
        <v>0</v>
      </c>
      <c r="M492" s="271">
        <v>4440</v>
      </c>
      <c r="N492" s="34"/>
      <c r="O492" s="34" t="s">
        <v>1047</v>
      </c>
      <c r="P492" s="272" t="s">
        <v>1046</v>
      </c>
    </row>
    <row r="493" spans="1:16" x14ac:dyDescent="0.25">
      <c r="A493" s="270" t="s">
        <v>411</v>
      </c>
      <c r="B493" s="31" t="s">
        <v>410</v>
      </c>
      <c r="C493" s="31" t="s">
        <v>418</v>
      </c>
      <c r="D493" s="31" t="s">
        <v>434</v>
      </c>
      <c r="E493" s="31" t="s">
        <v>193</v>
      </c>
      <c r="F493" s="35" t="s">
        <v>435</v>
      </c>
      <c r="G493" s="33" t="s">
        <v>929</v>
      </c>
      <c r="H493" s="33" t="s">
        <v>602</v>
      </c>
      <c r="I493" s="36" t="s">
        <v>555</v>
      </c>
      <c r="J493" s="36" t="s">
        <v>875</v>
      </c>
      <c r="K493" s="36" t="s">
        <v>573</v>
      </c>
      <c r="L493" s="37">
        <v>0</v>
      </c>
      <c r="M493" s="271">
        <v>1000</v>
      </c>
      <c r="N493" s="34" t="s">
        <v>929</v>
      </c>
      <c r="O493" s="34" t="s">
        <v>573</v>
      </c>
      <c r="P493" s="272" t="s">
        <v>954</v>
      </c>
    </row>
    <row r="494" spans="1:16" x14ac:dyDescent="0.25">
      <c r="A494" s="270" t="s">
        <v>411</v>
      </c>
      <c r="B494" s="31" t="s">
        <v>410</v>
      </c>
      <c r="C494" s="31" t="s">
        <v>418</v>
      </c>
      <c r="D494" s="31" t="s">
        <v>434</v>
      </c>
      <c r="E494" s="31" t="s">
        <v>193</v>
      </c>
      <c r="F494" s="35" t="s">
        <v>435</v>
      </c>
      <c r="G494" s="33" t="s">
        <v>929</v>
      </c>
      <c r="H494" s="33" t="s">
        <v>602</v>
      </c>
      <c r="I494" s="36" t="s">
        <v>555</v>
      </c>
      <c r="J494" s="36" t="s">
        <v>875</v>
      </c>
      <c r="K494" s="36" t="s">
        <v>950</v>
      </c>
      <c r="L494" s="37">
        <v>2500</v>
      </c>
      <c r="M494" s="271">
        <v>1200</v>
      </c>
      <c r="N494" s="34" t="s">
        <v>929</v>
      </c>
      <c r="O494" s="34" t="s">
        <v>950</v>
      </c>
      <c r="P494" s="272" t="s">
        <v>955</v>
      </c>
    </row>
    <row r="495" spans="1:16" x14ac:dyDescent="0.25">
      <c r="A495" s="270" t="s">
        <v>411</v>
      </c>
      <c r="B495" s="31" t="s">
        <v>410</v>
      </c>
      <c r="C495" s="31" t="s">
        <v>418</v>
      </c>
      <c r="D495" s="31" t="s">
        <v>434</v>
      </c>
      <c r="E495" s="31" t="s">
        <v>193</v>
      </c>
      <c r="F495" s="35" t="s">
        <v>435</v>
      </c>
      <c r="G495" s="33" t="s">
        <v>929</v>
      </c>
      <c r="H495" s="33" t="s">
        <v>602</v>
      </c>
      <c r="I495" s="36" t="s">
        <v>553</v>
      </c>
      <c r="J495" s="36" t="s">
        <v>582</v>
      </c>
      <c r="K495" s="36" t="s">
        <v>574</v>
      </c>
      <c r="L495" s="37">
        <f>4676.9*3</f>
        <v>14030.699999999999</v>
      </c>
      <c r="M495" s="271">
        <v>4580</v>
      </c>
      <c r="N495" s="34" t="s">
        <v>929</v>
      </c>
      <c r="O495" s="34" t="s">
        <v>574</v>
      </c>
      <c r="P495" s="272" t="s">
        <v>997</v>
      </c>
    </row>
    <row r="496" spans="1:16" x14ac:dyDescent="0.25">
      <c r="A496" s="270" t="s">
        <v>411</v>
      </c>
      <c r="B496" s="31" t="s">
        <v>410</v>
      </c>
      <c r="C496" s="31" t="s">
        <v>418</v>
      </c>
      <c r="D496" s="31" t="s">
        <v>434</v>
      </c>
      <c r="E496" s="31" t="s">
        <v>193</v>
      </c>
      <c r="F496" s="35" t="s">
        <v>435</v>
      </c>
      <c r="G496" s="33" t="s">
        <v>513</v>
      </c>
      <c r="H496" s="33" t="s">
        <v>603</v>
      </c>
      <c r="I496" s="36" t="s">
        <v>555</v>
      </c>
      <c r="J496" s="36" t="s">
        <v>875</v>
      </c>
      <c r="K496" s="36" t="s">
        <v>904</v>
      </c>
      <c r="L496" s="37">
        <v>230.75</v>
      </c>
      <c r="M496" s="271">
        <v>150</v>
      </c>
      <c r="N496" s="34"/>
      <c r="O496" s="34" t="s">
        <v>513</v>
      </c>
      <c r="P496" s="272" t="s">
        <v>1050</v>
      </c>
    </row>
    <row r="497" spans="1:16" x14ac:dyDescent="0.25">
      <c r="A497" s="270" t="s">
        <v>411</v>
      </c>
      <c r="B497" s="31" t="s">
        <v>410</v>
      </c>
      <c r="C497" s="31" t="s">
        <v>418</v>
      </c>
      <c r="D497" s="31" t="s">
        <v>434</v>
      </c>
      <c r="E497" s="31" t="s">
        <v>193</v>
      </c>
      <c r="F497" s="35" t="s">
        <v>435</v>
      </c>
      <c r="G497" s="33" t="s">
        <v>968</v>
      </c>
      <c r="H497" s="277" t="s">
        <v>603</v>
      </c>
      <c r="I497" s="36" t="s">
        <v>555</v>
      </c>
      <c r="J497" s="36" t="s">
        <v>875</v>
      </c>
      <c r="K497" s="36" t="s">
        <v>904</v>
      </c>
      <c r="L497" s="37">
        <v>807.62</v>
      </c>
      <c r="M497" s="271">
        <v>675</v>
      </c>
      <c r="N497" s="34"/>
      <c r="O497" s="34"/>
      <c r="P497" s="272" t="s">
        <v>1040</v>
      </c>
    </row>
    <row r="498" spans="1:16" x14ac:dyDescent="0.25">
      <c r="A498" s="270" t="s">
        <v>411</v>
      </c>
      <c r="B498" s="31" t="s">
        <v>410</v>
      </c>
      <c r="C498" s="31" t="s">
        <v>418</v>
      </c>
      <c r="D498" s="31" t="s">
        <v>434</v>
      </c>
      <c r="E498" s="31" t="s">
        <v>193</v>
      </c>
      <c r="F498" s="35" t="s">
        <v>435</v>
      </c>
      <c r="G498" s="33" t="s">
        <v>968</v>
      </c>
      <c r="H498" s="277" t="s">
        <v>603</v>
      </c>
      <c r="I498" s="36" t="s">
        <v>555</v>
      </c>
      <c r="J498" s="36" t="s">
        <v>875</v>
      </c>
      <c r="K498" s="36" t="s">
        <v>904</v>
      </c>
      <c r="L498" s="37">
        <v>3130.72</v>
      </c>
      <c r="M498" s="271">
        <v>4000</v>
      </c>
      <c r="N498" s="34"/>
      <c r="O498" s="34"/>
      <c r="P498" s="272" t="s">
        <v>1041</v>
      </c>
    </row>
    <row r="499" spans="1:16" x14ac:dyDescent="0.25">
      <c r="A499" s="270" t="s">
        <v>411</v>
      </c>
      <c r="B499" s="31" t="s">
        <v>410</v>
      </c>
      <c r="C499" s="31" t="s">
        <v>418</v>
      </c>
      <c r="D499" s="31" t="s">
        <v>434</v>
      </c>
      <c r="E499" s="31" t="s">
        <v>193</v>
      </c>
      <c r="F499" s="35" t="s">
        <v>435</v>
      </c>
      <c r="G499" s="33" t="s">
        <v>527</v>
      </c>
      <c r="H499" s="33" t="s">
        <v>603</v>
      </c>
      <c r="I499" s="36" t="s">
        <v>555</v>
      </c>
      <c r="J499" s="36" t="s">
        <v>875</v>
      </c>
      <c r="K499" s="36" t="s">
        <v>518</v>
      </c>
      <c r="L499" s="37">
        <v>36800</v>
      </c>
      <c r="M499" s="271">
        <v>100000</v>
      </c>
      <c r="N499" s="34" t="s">
        <v>973</v>
      </c>
      <c r="O499" s="34" t="s">
        <v>975</v>
      </c>
      <c r="P499" s="272" t="s">
        <v>976</v>
      </c>
    </row>
    <row r="500" spans="1:16" x14ac:dyDescent="0.25">
      <c r="A500" s="270" t="s">
        <v>411</v>
      </c>
      <c r="B500" s="31" t="s">
        <v>410</v>
      </c>
      <c r="C500" s="31" t="s">
        <v>418</v>
      </c>
      <c r="D500" s="31" t="s">
        <v>434</v>
      </c>
      <c r="E500" s="31" t="s">
        <v>194</v>
      </c>
      <c r="F500" s="35" t="s">
        <v>436</v>
      </c>
      <c r="G500" s="33" t="s">
        <v>929</v>
      </c>
      <c r="H500" s="33" t="s">
        <v>602</v>
      </c>
      <c r="I500" s="36" t="s">
        <v>552</v>
      </c>
      <c r="J500" s="36" t="s">
        <v>591</v>
      </c>
      <c r="K500" s="36" t="s">
        <v>948</v>
      </c>
      <c r="L500" s="37">
        <v>10000</v>
      </c>
      <c r="M500" s="271">
        <v>10000</v>
      </c>
      <c r="N500" s="34" t="s">
        <v>929</v>
      </c>
      <c r="O500" s="34" t="s">
        <v>948</v>
      </c>
      <c r="P500" s="272" t="s">
        <v>951</v>
      </c>
    </row>
    <row r="501" spans="1:16" x14ac:dyDescent="0.25">
      <c r="A501" s="270" t="s">
        <v>411</v>
      </c>
      <c r="B501" s="31" t="s">
        <v>410</v>
      </c>
      <c r="C501" s="31" t="s">
        <v>418</v>
      </c>
      <c r="D501" s="31" t="s">
        <v>434</v>
      </c>
      <c r="E501" s="31" t="s">
        <v>194</v>
      </c>
      <c r="F501" s="35" t="s">
        <v>436</v>
      </c>
      <c r="G501" s="33" t="s">
        <v>929</v>
      </c>
      <c r="H501" s="33" t="s">
        <v>602</v>
      </c>
      <c r="I501" s="36" t="s">
        <v>552</v>
      </c>
      <c r="J501" s="36" t="s">
        <v>591</v>
      </c>
      <c r="K501" s="36" t="s">
        <v>572</v>
      </c>
      <c r="L501" s="37">
        <v>6000</v>
      </c>
      <c r="M501" s="271">
        <v>6000</v>
      </c>
      <c r="N501" s="34" t="s">
        <v>929</v>
      </c>
      <c r="O501" s="34" t="s">
        <v>572</v>
      </c>
      <c r="P501" s="272" t="s">
        <v>952</v>
      </c>
    </row>
    <row r="502" spans="1:16" x14ac:dyDescent="0.25">
      <c r="A502" s="270" t="s">
        <v>411</v>
      </c>
      <c r="B502" s="31" t="s">
        <v>410</v>
      </c>
      <c r="C502" s="31" t="s">
        <v>418</v>
      </c>
      <c r="D502" s="31" t="s">
        <v>434</v>
      </c>
      <c r="E502" s="31" t="s">
        <v>194</v>
      </c>
      <c r="F502" s="35" t="s">
        <v>436</v>
      </c>
      <c r="G502" s="33" t="s">
        <v>506</v>
      </c>
      <c r="H502" s="33" t="s">
        <v>603</v>
      </c>
      <c r="I502" s="36" t="s">
        <v>552</v>
      </c>
      <c r="J502" s="36" t="s">
        <v>580</v>
      </c>
      <c r="K502" s="36" t="s">
        <v>1056</v>
      </c>
      <c r="L502" s="37">
        <v>800</v>
      </c>
      <c r="M502" s="271">
        <v>4395</v>
      </c>
      <c r="N502" s="34"/>
      <c r="O502" s="34" t="s">
        <v>1057</v>
      </c>
      <c r="P502" s="272" t="s">
        <v>1128</v>
      </c>
    </row>
    <row r="503" spans="1:16" x14ac:dyDescent="0.25">
      <c r="A503" s="270" t="s">
        <v>411</v>
      </c>
      <c r="B503" s="31" t="s">
        <v>410</v>
      </c>
      <c r="C503" s="31" t="s">
        <v>418</v>
      </c>
      <c r="D503" s="31" t="s">
        <v>434</v>
      </c>
      <c r="E503" s="31" t="s">
        <v>194</v>
      </c>
      <c r="F503" s="35" t="s">
        <v>436</v>
      </c>
      <c r="G503" s="33" t="s">
        <v>505</v>
      </c>
      <c r="H503" s="33" t="s">
        <v>603</v>
      </c>
      <c r="I503" s="36" t="s">
        <v>552</v>
      </c>
      <c r="J503" s="36" t="s">
        <v>580</v>
      </c>
      <c r="K503" s="36" t="s">
        <v>1056</v>
      </c>
      <c r="L503" s="37">
        <v>2797.87</v>
      </c>
      <c r="M503" s="271">
        <v>5225</v>
      </c>
      <c r="N503" s="34"/>
      <c r="O503" s="34" t="s">
        <v>1058</v>
      </c>
      <c r="P503" s="272" t="s">
        <v>1127</v>
      </c>
    </row>
    <row r="504" spans="1:16" x14ac:dyDescent="0.25">
      <c r="A504" s="270" t="s">
        <v>411</v>
      </c>
      <c r="B504" s="31" t="s">
        <v>410</v>
      </c>
      <c r="C504" s="31" t="s">
        <v>418</v>
      </c>
      <c r="D504" s="31" t="s">
        <v>434</v>
      </c>
      <c r="E504" s="31" t="s">
        <v>194</v>
      </c>
      <c r="F504" s="35" t="s">
        <v>436</v>
      </c>
      <c r="G504" s="33" t="s">
        <v>507</v>
      </c>
      <c r="H504" s="33" t="s">
        <v>603</v>
      </c>
      <c r="I504" s="36" t="s">
        <v>552</v>
      </c>
      <c r="J504" s="36" t="s">
        <v>580</v>
      </c>
      <c r="K504" s="36" t="s">
        <v>1056</v>
      </c>
      <c r="L504" s="37">
        <v>1000</v>
      </c>
      <c r="M504" s="271">
        <v>5000</v>
      </c>
      <c r="N504" s="34"/>
      <c r="O504" s="34" t="s">
        <v>1055</v>
      </c>
      <c r="P504" s="272" t="s">
        <v>1054</v>
      </c>
    </row>
    <row r="505" spans="1:16" x14ac:dyDescent="0.25">
      <c r="A505" s="270" t="s">
        <v>411</v>
      </c>
      <c r="B505" s="31" t="s">
        <v>410</v>
      </c>
      <c r="C505" s="31" t="s">
        <v>418</v>
      </c>
      <c r="D505" s="31" t="s">
        <v>434</v>
      </c>
      <c r="E505" s="31" t="s">
        <v>194</v>
      </c>
      <c r="F505" s="35" t="s">
        <v>436</v>
      </c>
      <c r="G505" s="33" t="s">
        <v>1136</v>
      </c>
      <c r="H505" s="33" t="s">
        <v>603</v>
      </c>
      <c r="I505" s="36" t="s">
        <v>552</v>
      </c>
      <c r="J505" s="36" t="s">
        <v>580</v>
      </c>
      <c r="K505" s="36" t="s">
        <v>503</v>
      </c>
      <c r="L505" s="37">
        <v>2500</v>
      </c>
      <c r="M505" s="271">
        <v>15000</v>
      </c>
      <c r="N505" s="34"/>
      <c r="O505" s="34" t="s">
        <v>1126</v>
      </c>
      <c r="P505" s="272" t="s">
        <v>1023</v>
      </c>
    </row>
    <row r="506" spans="1:16" x14ac:dyDescent="0.25">
      <c r="A506" s="270" t="s">
        <v>411</v>
      </c>
      <c r="B506" s="31" t="s">
        <v>410</v>
      </c>
      <c r="C506" s="31" t="s">
        <v>418</v>
      </c>
      <c r="D506" s="31" t="s">
        <v>434</v>
      </c>
      <c r="E506" s="31" t="s">
        <v>194</v>
      </c>
      <c r="F506" s="35" t="s">
        <v>436</v>
      </c>
      <c r="G506" s="33" t="s">
        <v>1136</v>
      </c>
      <c r="H506" s="33" t="s">
        <v>603</v>
      </c>
      <c r="I506" s="36" t="s">
        <v>552</v>
      </c>
      <c r="J506" s="36" t="s">
        <v>580</v>
      </c>
      <c r="K506" s="36" t="s">
        <v>503</v>
      </c>
      <c r="L506" s="37">
        <v>1110.82</v>
      </c>
      <c r="M506" s="271">
        <v>4750</v>
      </c>
      <c r="N506" s="34"/>
      <c r="O506" s="34" t="s">
        <v>503</v>
      </c>
      <c r="P506" s="272" t="s">
        <v>1135</v>
      </c>
    </row>
    <row r="507" spans="1:16" x14ac:dyDescent="0.25">
      <c r="A507" s="270" t="s">
        <v>411</v>
      </c>
      <c r="B507" s="31" t="s">
        <v>410</v>
      </c>
      <c r="C507" s="31" t="s">
        <v>418</v>
      </c>
      <c r="D507" s="31" t="s">
        <v>434</v>
      </c>
      <c r="E507" s="31" t="s">
        <v>194</v>
      </c>
      <c r="F507" s="35" t="s">
        <v>436</v>
      </c>
      <c r="G507" s="33" t="s">
        <v>1130</v>
      </c>
      <c r="H507" s="33" t="s">
        <v>603</v>
      </c>
      <c r="I507" s="36" t="s">
        <v>552</v>
      </c>
      <c r="J507" s="36" t="s">
        <v>580</v>
      </c>
      <c r="K507" s="36" t="s">
        <v>504</v>
      </c>
      <c r="L507" s="37">
        <v>2500</v>
      </c>
      <c r="M507" s="271">
        <v>15000</v>
      </c>
      <c r="N507" s="34"/>
      <c r="O507" s="34" t="s">
        <v>1126</v>
      </c>
      <c r="P507" s="272" t="s">
        <v>1023</v>
      </c>
    </row>
    <row r="508" spans="1:16" x14ac:dyDescent="0.25">
      <c r="A508" s="270" t="s">
        <v>411</v>
      </c>
      <c r="B508" s="31" t="s">
        <v>410</v>
      </c>
      <c r="C508" s="31" t="s">
        <v>418</v>
      </c>
      <c r="D508" s="31" t="s">
        <v>434</v>
      </c>
      <c r="E508" s="31" t="s">
        <v>194</v>
      </c>
      <c r="F508" s="35" t="s">
        <v>436</v>
      </c>
      <c r="G508" s="33" t="s">
        <v>1130</v>
      </c>
      <c r="H508" s="33" t="s">
        <v>603</v>
      </c>
      <c r="I508" s="36" t="s">
        <v>552</v>
      </c>
      <c r="J508" s="36" t="s">
        <v>580</v>
      </c>
      <c r="K508" s="36" t="s">
        <v>504</v>
      </c>
      <c r="L508" s="37">
        <v>1000</v>
      </c>
      <c r="M508" s="271">
        <v>4000</v>
      </c>
      <c r="N508" s="34"/>
      <c r="O508" s="34" t="s">
        <v>504</v>
      </c>
      <c r="P508" s="272" t="s">
        <v>1131</v>
      </c>
    </row>
    <row r="509" spans="1:16" x14ac:dyDescent="0.25">
      <c r="A509" s="270" t="s">
        <v>411</v>
      </c>
      <c r="B509" s="31" t="s">
        <v>410</v>
      </c>
      <c r="C509" s="31" t="s">
        <v>418</v>
      </c>
      <c r="D509" s="31" t="s">
        <v>434</v>
      </c>
      <c r="E509" s="31" t="s">
        <v>194</v>
      </c>
      <c r="F509" s="35" t="s">
        <v>436</v>
      </c>
      <c r="G509" s="33" t="s">
        <v>1130</v>
      </c>
      <c r="H509" s="33" t="s">
        <v>603</v>
      </c>
      <c r="I509" s="36" t="s">
        <v>552</v>
      </c>
      <c r="J509" s="36" t="s">
        <v>580</v>
      </c>
      <c r="K509" s="36" t="s">
        <v>505</v>
      </c>
      <c r="L509" s="37">
        <v>2500</v>
      </c>
      <c r="M509" s="271">
        <v>15000</v>
      </c>
      <c r="N509" s="34"/>
      <c r="O509" s="34" t="s">
        <v>1126</v>
      </c>
      <c r="P509" s="272" t="s">
        <v>1023</v>
      </c>
    </row>
    <row r="510" spans="1:16" x14ac:dyDescent="0.25">
      <c r="A510" s="270" t="s">
        <v>411</v>
      </c>
      <c r="B510" s="31" t="s">
        <v>410</v>
      </c>
      <c r="C510" s="31" t="s">
        <v>418</v>
      </c>
      <c r="D510" s="31" t="s">
        <v>434</v>
      </c>
      <c r="E510" s="31" t="s">
        <v>194</v>
      </c>
      <c r="F510" s="35" t="s">
        <v>436</v>
      </c>
      <c r="G510" s="33" t="s">
        <v>1124</v>
      </c>
      <c r="H510" s="33" t="s">
        <v>603</v>
      </c>
      <c r="I510" s="36" t="s">
        <v>552</v>
      </c>
      <c r="J510" s="36" t="s">
        <v>580</v>
      </c>
      <c r="K510" s="36" t="s">
        <v>505</v>
      </c>
      <c r="L510" s="37">
        <v>1000</v>
      </c>
      <c r="M510" s="271">
        <v>4000</v>
      </c>
      <c r="N510" s="34"/>
      <c r="O510" s="34" t="s">
        <v>505</v>
      </c>
      <c r="P510" s="272" t="s">
        <v>1121</v>
      </c>
    </row>
    <row r="511" spans="1:16" x14ac:dyDescent="0.25">
      <c r="A511" s="270" t="s">
        <v>411</v>
      </c>
      <c r="B511" s="31" t="s">
        <v>410</v>
      </c>
      <c r="C511" s="31" t="s">
        <v>418</v>
      </c>
      <c r="D511" s="31" t="s">
        <v>434</v>
      </c>
      <c r="E511" s="31" t="s">
        <v>194</v>
      </c>
      <c r="F511" s="35" t="s">
        <v>436</v>
      </c>
      <c r="G511" s="33" t="s">
        <v>1137</v>
      </c>
      <c r="H511" s="33" t="s">
        <v>603</v>
      </c>
      <c r="I511" s="36" t="s">
        <v>552</v>
      </c>
      <c r="J511" s="36" t="s">
        <v>580</v>
      </c>
      <c r="K511" s="36" t="s">
        <v>506</v>
      </c>
      <c r="L511" s="37">
        <v>2500</v>
      </c>
      <c r="M511" s="271">
        <v>15000</v>
      </c>
      <c r="N511" s="34"/>
      <c r="O511" s="34" t="s">
        <v>1126</v>
      </c>
      <c r="P511" s="272" t="s">
        <v>1023</v>
      </c>
    </row>
    <row r="512" spans="1:16" x14ac:dyDescent="0.25">
      <c r="A512" s="270" t="s">
        <v>411</v>
      </c>
      <c r="B512" s="31" t="s">
        <v>410</v>
      </c>
      <c r="C512" s="31" t="s">
        <v>418</v>
      </c>
      <c r="D512" s="31" t="s">
        <v>434</v>
      </c>
      <c r="E512" s="31" t="s">
        <v>194</v>
      </c>
      <c r="F512" s="35" t="s">
        <v>436</v>
      </c>
      <c r="G512" s="33" t="s">
        <v>1137</v>
      </c>
      <c r="H512" s="33" t="s">
        <v>603</v>
      </c>
      <c r="I512" s="36" t="s">
        <v>552</v>
      </c>
      <c r="J512" s="36" t="s">
        <v>580</v>
      </c>
      <c r="K512" s="36" t="s">
        <v>506</v>
      </c>
      <c r="L512" s="37">
        <v>1110.82</v>
      </c>
      <c r="M512" s="271">
        <v>4750</v>
      </c>
      <c r="N512" s="34"/>
      <c r="O512" s="34" t="s">
        <v>506</v>
      </c>
      <c r="P512" s="272" t="s">
        <v>1134</v>
      </c>
    </row>
    <row r="513" spans="1:16" x14ac:dyDescent="0.25">
      <c r="A513" s="270" t="s">
        <v>411</v>
      </c>
      <c r="B513" s="31" t="s">
        <v>410</v>
      </c>
      <c r="C513" s="31" t="s">
        <v>418</v>
      </c>
      <c r="D513" s="31" t="s">
        <v>434</v>
      </c>
      <c r="E513" s="31" t="s">
        <v>194</v>
      </c>
      <c r="F513" s="35" t="s">
        <v>436</v>
      </c>
      <c r="G513" s="33" t="s">
        <v>1140</v>
      </c>
      <c r="H513" s="33" t="s">
        <v>603</v>
      </c>
      <c r="I513" s="36" t="s">
        <v>552</v>
      </c>
      <c r="J513" s="36" t="s">
        <v>580</v>
      </c>
      <c r="K513" s="36" t="s">
        <v>507</v>
      </c>
      <c r="L513" s="37">
        <v>2500</v>
      </c>
      <c r="M513" s="271">
        <v>15000</v>
      </c>
      <c r="N513" s="34"/>
      <c r="O513" s="34" t="s">
        <v>1126</v>
      </c>
      <c r="P513" s="272" t="s">
        <v>1023</v>
      </c>
    </row>
    <row r="514" spans="1:16" x14ac:dyDescent="0.25">
      <c r="A514" s="270" t="s">
        <v>411</v>
      </c>
      <c r="B514" s="31" t="s">
        <v>410</v>
      </c>
      <c r="C514" s="31" t="s">
        <v>418</v>
      </c>
      <c r="D514" s="31" t="s">
        <v>434</v>
      </c>
      <c r="E514" s="31" t="s">
        <v>194</v>
      </c>
      <c r="F514" s="35" t="s">
        <v>436</v>
      </c>
      <c r="G514" s="33" t="s">
        <v>1140</v>
      </c>
      <c r="H514" s="33" t="s">
        <v>603</v>
      </c>
      <c r="I514" s="36" t="s">
        <v>552</v>
      </c>
      <c r="J514" s="36" t="s">
        <v>580</v>
      </c>
      <c r="K514" s="36" t="s">
        <v>507</v>
      </c>
      <c r="L514" s="37">
        <v>1110.82</v>
      </c>
      <c r="M514" s="271">
        <v>4750</v>
      </c>
      <c r="N514" s="34"/>
      <c r="O514" s="34" t="s">
        <v>507</v>
      </c>
      <c r="P514" s="272" t="s">
        <v>1138</v>
      </c>
    </row>
    <row r="515" spans="1:16" x14ac:dyDescent="0.25">
      <c r="A515" s="270" t="s">
        <v>411</v>
      </c>
      <c r="B515" s="31" t="s">
        <v>410</v>
      </c>
      <c r="C515" s="31" t="s">
        <v>418</v>
      </c>
      <c r="D515" s="31" t="s">
        <v>434</v>
      </c>
      <c r="E515" s="31" t="s">
        <v>194</v>
      </c>
      <c r="F515" s="35" t="s">
        <v>436</v>
      </c>
      <c r="G515" s="33" t="s">
        <v>1154</v>
      </c>
      <c r="H515" s="33" t="s">
        <v>603</v>
      </c>
      <c r="I515" s="36" t="s">
        <v>552</v>
      </c>
      <c r="J515" s="36" t="s">
        <v>580</v>
      </c>
      <c r="K515" s="36" t="s">
        <v>502</v>
      </c>
      <c r="L515" s="37">
        <v>1193.22</v>
      </c>
      <c r="M515" s="271">
        <v>40000</v>
      </c>
      <c r="N515" s="34"/>
      <c r="O515" s="34" t="s">
        <v>502</v>
      </c>
      <c r="P515" s="272" t="s">
        <v>1156</v>
      </c>
    </row>
    <row r="516" spans="1:16" x14ac:dyDescent="0.25">
      <c r="A516" s="270" t="s">
        <v>411</v>
      </c>
      <c r="B516" s="31" t="s">
        <v>410</v>
      </c>
      <c r="C516" s="31" t="s">
        <v>418</v>
      </c>
      <c r="D516" s="31" t="s">
        <v>434</v>
      </c>
      <c r="E516" s="31" t="s">
        <v>194</v>
      </c>
      <c r="F516" s="35" t="s">
        <v>436</v>
      </c>
      <c r="G516" s="33" t="s">
        <v>1151</v>
      </c>
      <c r="H516" s="33" t="s">
        <v>603</v>
      </c>
      <c r="I516" s="36" t="s">
        <v>553</v>
      </c>
      <c r="J516" s="36" t="s">
        <v>581</v>
      </c>
      <c r="K516" s="36" t="s">
        <v>516</v>
      </c>
      <c r="L516" s="37">
        <v>360</v>
      </c>
      <c r="M516" s="271">
        <v>2000</v>
      </c>
      <c r="N516" s="34"/>
      <c r="O516" s="34" t="s">
        <v>516</v>
      </c>
      <c r="P516" s="272" t="s">
        <v>1150</v>
      </c>
    </row>
    <row r="517" spans="1:16" x14ac:dyDescent="0.25">
      <c r="A517" s="270" t="s">
        <v>411</v>
      </c>
      <c r="B517" s="31" t="s">
        <v>410</v>
      </c>
      <c r="C517" s="31" t="s">
        <v>418</v>
      </c>
      <c r="D517" s="31" t="s">
        <v>434</v>
      </c>
      <c r="E517" s="31" t="s">
        <v>194</v>
      </c>
      <c r="F517" s="35" t="s">
        <v>436</v>
      </c>
      <c r="G517" s="33" t="s">
        <v>498</v>
      </c>
      <c r="H517" s="33" t="s">
        <v>603</v>
      </c>
      <c r="I517" s="36" t="s">
        <v>555</v>
      </c>
      <c r="J517" s="36" t="s">
        <v>579</v>
      </c>
      <c r="K517" s="36" t="s">
        <v>587</v>
      </c>
      <c r="L517" s="37">
        <v>1279.32</v>
      </c>
      <c r="M517" s="271">
        <v>575</v>
      </c>
      <c r="N517" s="34"/>
      <c r="O517" s="34"/>
      <c r="P517" s="272" t="s">
        <v>1002</v>
      </c>
    </row>
    <row r="518" spans="1:16" x14ac:dyDescent="0.25">
      <c r="A518" s="270" t="s">
        <v>411</v>
      </c>
      <c r="B518" s="31" t="s">
        <v>410</v>
      </c>
      <c r="C518" s="31" t="s">
        <v>418</v>
      </c>
      <c r="D518" s="31" t="s">
        <v>434</v>
      </c>
      <c r="E518" s="31" t="s">
        <v>194</v>
      </c>
      <c r="F518" s="35" t="s">
        <v>436</v>
      </c>
      <c r="G518" s="33" t="s">
        <v>501</v>
      </c>
      <c r="H518" s="33" t="s">
        <v>603</v>
      </c>
      <c r="I518" s="36" t="s">
        <v>555</v>
      </c>
      <c r="J518" s="36" t="s">
        <v>577</v>
      </c>
      <c r="K518" s="36" t="s">
        <v>1059</v>
      </c>
      <c r="L518" s="37">
        <v>1000</v>
      </c>
      <c r="M518" s="271">
        <v>7000</v>
      </c>
      <c r="N518" s="34"/>
      <c r="O518" s="34" t="s">
        <v>1061</v>
      </c>
      <c r="P518" s="272" t="s">
        <v>1060</v>
      </c>
    </row>
    <row r="519" spans="1:16" x14ac:dyDescent="0.25">
      <c r="A519" s="270" t="s">
        <v>411</v>
      </c>
      <c r="B519" s="31" t="s">
        <v>410</v>
      </c>
      <c r="C519" s="31" t="s">
        <v>418</v>
      </c>
      <c r="D519" s="31" t="s">
        <v>434</v>
      </c>
      <c r="E519" s="31" t="s">
        <v>194</v>
      </c>
      <c r="F519" s="35" t="s">
        <v>436</v>
      </c>
      <c r="G519" s="33" t="s">
        <v>1082</v>
      </c>
      <c r="H519" s="33" t="s">
        <v>603</v>
      </c>
      <c r="I519" s="36" t="s">
        <v>555</v>
      </c>
      <c r="J519" s="36" t="s">
        <v>577</v>
      </c>
      <c r="K519" s="36" t="s">
        <v>1059</v>
      </c>
      <c r="L519" s="37">
        <v>2000.45</v>
      </c>
      <c r="M519" s="271">
        <v>1900</v>
      </c>
      <c r="N519" s="34"/>
      <c r="O519" s="34" t="s">
        <v>1083</v>
      </c>
      <c r="P519" s="272" t="s">
        <v>1086</v>
      </c>
    </row>
    <row r="520" spans="1:16" x14ac:dyDescent="0.25">
      <c r="A520" s="270" t="s">
        <v>411</v>
      </c>
      <c r="B520" s="31" t="s">
        <v>410</v>
      </c>
      <c r="C520" s="31" t="s">
        <v>418</v>
      </c>
      <c r="D520" s="31" t="s">
        <v>434</v>
      </c>
      <c r="E520" s="31" t="s">
        <v>194</v>
      </c>
      <c r="F520" s="35" t="s">
        <v>436</v>
      </c>
      <c r="G520" s="33" t="s">
        <v>1067</v>
      </c>
      <c r="H520" s="33" t="s">
        <v>603</v>
      </c>
      <c r="I520" s="36" t="s">
        <v>555</v>
      </c>
      <c r="J520" s="36" t="s">
        <v>577</v>
      </c>
      <c r="K520" s="36" t="s">
        <v>589</v>
      </c>
      <c r="L520" s="37">
        <v>9395.5</v>
      </c>
      <c r="M520" s="271">
        <v>80000</v>
      </c>
      <c r="N520" s="34"/>
      <c r="O520" s="34" t="s">
        <v>1076</v>
      </c>
      <c r="P520" s="272" t="s">
        <v>1074</v>
      </c>
    </row>
    <row r="521" spans="1:16" x14ac:dyDescent="0.25">
      <c r="A521" s="270" t="s">
        <v>411</v>
      </c>
      <c r="B521" s="31" t="s">
        <v>410</v>
      </c>
      <c r="C521" s="31" t="s">
        <v>418</v>
      </c>
      <c r="D521" s="31" t="s">
        <v>434</v>
      </c>
      <c r="E521" s="31" t="s">
        <v>194</v>
      </c>
      <c r="F521" s="35" t="s">
        <v>436</v>
      </c>
      <c r="G521" s="33" t="s">
        <v>1158</v>
      </c>
      <c r="H521" s="33" t="s">
        <v>603</v>
      </c>
      <c r="I521" s="36" t="s">
        <v>555</v>
      </c>
      <c r="J521" s="36" t="s">
        <v>577</v>
      </c>
      <c r="K521" s="36" t="s">
        <v>532</v>
      </c>
      <c r="L521" s="37">
        <v>9742.75</v>
      </c>
      <c r="M521" s="271">
        <v>17700</v>
      </c>
      <c r="N521" s="34"/>
      <c r="O521" s="34" t="s">
        <v>532</v>
      </c>
      <c r="P521" s="272" t="s">
        <v>1159</v>
      </c>
    </row>
    <row r="522" spans="1:16" x14ac:dyDescent="0.25">
      <c r="A522" s="270" t="s">
        <v>411</v>
      </c>
      <c r="B522" s="31" t="s">
        <v>410</v>
      </c>
      <c r="C522" s="31" t="s">
        <v>418</v>
      </c>
      <c r="D522" s="31" t="s">
        <v>434</v>
      </c>
      <c r="E522" s="31" t="s">
        <v>194</v>
      </c>
      <c r="F522" s="35" t="s">
        <v>436</v>
      </c>
      <c r="G522" s="33" t="s">
        <v>1077</v>
      </c>
      <c r="H522" s="33" t="s">
        <v>603</v>
      </c>
      <c r="I522" s="36" t="s">
        <v>555</v>
      </c>
      <c r="J522" s="36" t="s">
        <v>577</v>
      </c>
      <c r="K522" s="36" t="s">
        <v>509</v>
      </c>
      <c r="L522" s="37">
        <v>0</v>
      </c>
      <c r="M522" s="271">
        <v>1500</v>
      </c>
      <c r="N522" s="34"/>
      <c r="O522" s="34" t="s">
        <v>1078</v>
      </c>
      <c r="P522" s="272" t="s">
        <v>1080</v>
      </c>
    </row>
    <row r="523" spans="1:16" x14ac:dyDescent="0.25">
      <c r="A523" s="270" t="s">
        <v>411</v>
      </c>
      <c r="B523" s="31" t="s">
        <v>410</v>
      </c>
      <c r="C523" s="31" t="s">
        <v>418</v>
      </c>
      <c r="D523" s="31" t="s">
        <v>434</v>
      </c>
      <c r="E523" s="31" t="s">
        <v>194</v>
      </c>
      <c r="F523" s="35" t="s">
        <v>436</v>
      </c>
      <c r="G523" s="33" t="s">
        <v>1146</v>
      </c>
      <c r="H523" s="33" t="s">
        <v>603</v>
      </c>
      <c r="I523" s="36" t="s">
        <v>555</v>
      </c>
      <c r="J523" s="36" t="s">
        <v>577</v>
      </c>
      <c r="K523" s="36" t="s">
        <v>501</v>
      </c>
      <c r="L523" s="37">
        <v>403.25</v>
      </c>
      <c r="M523" s="271">
        <v>20250</v>
      </c>
      <c r="N523" s="34"/>
      <c r="O523" s="34" t="s">
        <v>501</v>
      </c>
      <c r="P523" s="272" t="s">
        <v>1141</v>
      </c>
    </row>
    <row r="524" spans="1:16" x14ac:dyDescent="0.25">
      <c r="A524" s="270" t="s">
        <v>411</v>
      </c>
      <c r="B524" s="31" t="s">
        <v>410</v>
      </c>
      <c r="C524" s="31" t="s">
        <v>418</v>
      </c>
      <c r="D524" s="31" t="s">
        <v>434</v>
      </c>
      <c r="E524" s="31" t="s">
        <v>194</v>
      </c>
      <c r="F524" s="35" t="s">
        <v>436</v>
      </c>
      <c r="G524" s="33" t="s">
        <v>1068</v>
      </c>
      <c r="H524" s="33" t="s">
        <v>603</v>
      </c>
      <c r="I524" s="36" t="s">
        <v>555</v>
      </c>
      <c r="J524" s="36" t="s">
        <v>577</v>
      </c>
      <c r="K524" s="36" t="s">
        <v>510</v>
      </c>
      <c r="L524" s="37">
        <v>3000</v>
      </c>
      <c r="M524" s="271">
        <v>18000</v>
      </c>
      <c r="N524" s="34"/>
      <c r="O524" s="34" t="s">
        <v>1070</v>
      </c>
      <c r="P524" s="272" t="s">
        <v>1071</v>
      </c>
    </row>
    <row r="525" spans="1:16" x14ac:dyDescent="0.25">
      <c r="A525" s="270" t="s">
        <v>411</v>
      </c>
      <c r="B525" s="31" t="s">
        <v>410</v>
      </c>
      <c r="C525" s="31" t="s">
        <v>418</v>
      </c>
      <c r="D525" s="31" t="s">
        <v>434</v>
      </c>
      <c r="E525" s="31" t="s">
        <v>194</v>
      </c>
      <c r="F525" s="35" t="s">
        <v>436</v>
      </c>
      <c r="G525" s="33" t="s">
        <v>1066</v>
      </c>
      <c r="H525" s="33" t="s">
        <v>603</v>
      </c>
      <c r="I525" s="36" t="s">
        <v>555</v>
      </c>
      <c r="J525" s="36" t="s">
        <v>577</v>
      </c>
      <c r="K525" s="36" t="s">
        <v>996</v>
      </c>
      <c r="L525" s="37">
        <v>1500</v>
      </c>
      <c r="M525" s="271">
        <v>47600</v>
      </c>
      <c r="N525" s="34"/>
      <c r="O525" s="34" t="s">
        <v>1063</v>
      </c>
      <c r="P525" s="272" t="s">
        <v>1065</v>
      </c>
    </row>
    <row r="526" spans="1:16" x14ac:dyDescent="0.25">
      <c r="A526" s="270" t="s">
        <v>411</v>
      </c>
      <c r="B526" s="31" t="s">
        <v>410</v>
      </c>
      <c r="C526" s="31" t="s">
        <v>418</v>
      </c>
      <c r="D526" s="31" t="s">
        <v>434</v>
      </c>
      <c r="E526" s="31" t="s">
        <v>194</v>
      </c>
      <c r="F526" s="35" t="s">
        <v>436</v>
      </c>
      <c r="G526" s="33" t="s">
        <v>554</v>
      </c>
      <c r="H526" s="33" t="s">
        <v>603</v>
      </c>
      <c r="I526" s="36" t="s">
        <v>555</v>
      </c>
      <c r="J526" s="36" t="s">
        <v>577</v>
      </c>
      <c r="K526" s="36" t="s">
        <v>554</v>
      </c>
      <c r="L526" s="37">
        <v>23589</v>
      </c>
      <c r="M526" s="271">
        <v>17000</v>
      </c>
      <c r="N526" s="34"/>
      <c r="O526" s="34" t="s">
        <v>554</v>
      </c>
      <c r="P526" s="272" t="s">
        <v>1193</v>
      </c>
    </row>
    <row r="527" spans="1:16" x14ac:dyDescent="0.25">
      <c r="A527" s="270" t="s">
        <v>411</v>
      </c>
      <c r="B527" s="31" t="s">
        <v>410</v>
      </c>
      <c r="C527" s="31" t="s">
        <v>418</v>
      </c>
      <c r="D527" s="31" t="s">
        <v>434</v>
      </c>
      <c r="E527" s="31" t="s">
        <v>194</v>
      </c>
      <c r="F527" s="35" t="s">
        <v>436</v>
      </c>
      <c r="G527" s="33" t="s">
        <v>1117</v>
      </c>
      <c r="H527" s="33" t="s">
        <v>603</v>
      </c>
      <c r="I527" s="36" t="s">
        <v>555</v>
      </c>
      <c r="J527" s="36" t="s">
        <v>578</v>
      </c>
      <c r="K527" s="36" t="s">
        <v>1118</v>
      </c>
      <c r="L527" s="37">
        <v>6000</v>
      </c>
      <c r="M527" s="271">
        <v>10000</v>
      </c>
      <c r="N527" s="34"/>
      <c r="O527" s="34" t="s">
        <v>1119</v>
      </c>
      <c r="P527" s="272" t="s">
        <v>1120</v>
      </c>
    </row>
    <row r="528" spans="1:16" x14ac:dyDescent="0.25">
      <c r="A528" s="270" t="s">
        <v>411</v>
      </c>
      <c r="B528" s="31" t="s">
        <v>410</v>
      </c>
      <c r="C528" s="31" t="s">
        <v>418</v>
      </c>
      <c r="D528" s="31" t="s">
        <v>434</v>
      </c>
      <c r="E528" s="31" t="s">
        <v>194</v>
      </c>
      <c r="F528" s="35" t="s">
        <v>436</v>
      </c>
      <c r="G528" s="33" t="s">
        <v>929</v>
      </c>
      <c r="H528" s="33" t="s">
        <v>602</v>
      </c>
      <c r="I528" s="36" t="s">
        <v>555</v>
      </c>
      <c r="J528" s="36" t="s">
        <v>578</v>
      </c>
      <c r="K528" s="36" t="s">
        <v>571</v>
      </c>
      <c r="L528" s="37">
        <v>7081.08</v>
      </c>
      <c r="M528" s="271">
        <v>7000</v>
      </c>
      <c r="N528" s="34" t="s">
        <v>929</v>
      </c>
      <c r="O528" s="34" t="s">
        <v>930</v>
      </c>
      <c r="P528" s="272" t="s">
        <v>928</v>
      </c>
    </row>
    <row r="529" spans="1:16" x14ac:dyDescent="0.25">
      <c r="A529" s="270" t="s">
        <v>411</v>
      </c>
      <c r="B529" s="31" t="s">
        <v>410</v>
      </c>
      <c r="C529" s="31" t="s">
        <v>418</v>
      </c>
      <c r="D529" s="31" t="s">
        <v>434</v>
      </c>
      <c r="E529" s="31" t="s">
        <v>194</v>
      </c>
      <c r="F529" s="35" t="s">
        <v>436</v>
      </c>
      <c r="G529" s="33" t="s">
        <v>929</v>
      </c>
      <c r="H529" s="33" t="s">
        <v>602</v>
      </c>
      <c r="I529" s="36" t="s">
        <v>555</v>
      </c>
      <c r="J529" s="36" t="s">
        <v>578</v>
      </c>
      <c r="K529" s="36" t="s">
        <v>571</v>
      </c>
      <c r="L529" s="37">
        <v>2286</v>
      </c>
      <c r="M529" s="271">
        <v>1290</v>
      </c>
      <c r="N529" s="34" t="s">
        <v>929</v>
      </c>
      <c r="O529" s="34" t="s">
        <v>933</v>
      </c>
      <c r="P529" s="272" t="s">
        <v>934</v>
      </c>
    </row>
    <row r="530" spans="1:16" x14ac:dyDescent="0.25">
      <c r="A530" s="270" t="s">
        <v>411</v>
      </c>
      <c r="B530" s="31" t="s">
        <v>410</v>
      </c>
      <c r="C530" s="31" t="s">
        <v>418</v>
      </c>
      <c r="D530" s="31" t="s">
        <v>434</v>
      </c>
      <c r="E530" s="31" t="s">
        <v>194</v>
      </c>
      <c r="F530" s="35" t="s">
        <v>436</v>
      </c>
      <c r="G530" s="33" t="s">
        <v>1112</v>
      </c>
      <c r="H530" s="33" t="s">
        <v>603</v>
      </c>
      <c r="I530" s="36" t="s">
        <v>555</v>
      </c>
      <c r="J530" s="36" t="s">
        <v>578</v>
      </c>
      <c r="K530" s="36" t="s">
        <v>1113</v>
      </c>
      <c r="L530" s="37">
        <v>213.5</v>
      </c>
      <c r="M530" s="271">
        <v>2170</v>
      </c>
      <c r="N530" s="34"/>
      <c r="O530" s="34" t="s">
        <v>1114</v>
      </c>
      <c r="P530" s="272" t="s">
        <v>1116</v>
      </c>
    </row>
    <row r="531" spans="1:16" x14ac:dyDescent="0.25">
      <c r="A531" s="270" t="s">
        <v>411</v>
      </c>
      <c r="B531" s="31" t="s">
        <v>410</v>
      </c>
      <c r="C531" s="31" t="s">
        <v>418</v>
      </c>
      <c r="D531" s="31" t="s">
        <v>434</v>
      </c>
      <c r="E531" s="31" t="s">
        <v>194</v>
      </c>
      <c r="F531" s="35" t="s">
        <v>436</v>
      </c>
      <c r="G531" s="33" t="s">
        <v>1092</v>
      </c>
      <c r="H531" s="33" t="s">
        <v>603</v>
      </c>
      <c r="I531" s="36" t="s">
        <v>555</v>
      </c>
      <c r="J531" s="36" t="s">
        <v>875</v>
      </c>
      <c r="K531" s="36" t="s">
        <v>1093</v>
      </c>
      <c r="L531" s="37">
        <v>854</v>
      </c>
      <c r="M531" s="271">
        <v>780</v>
      </c>
      <c r="N531" s="34"/>
      <c r="O531" s="34" t="s">
        <v>1094</v>
      </c>
      <c r="P531" s="272" t="s">
        <v>1104</v>
      </c>
    </row>
    <row r="532" spans="1:16" x14ac:dyDescent="0.25">
      <c r="A532" s="270" t="s">
        <v>411</v>
      </c>
      <c r="B532" s="31" t="s">
        <v>410</v>
      </c>
      <c r="C532" s="31" t="s">
        <v>418</v>
      </c>
      <c r="D532" s="31" t="s">
        <v>434</v>
      </c>
      <c r="E532" s="31" t="s">
        <v>194</v>
      </c>
      <c r="F532" s="35" t="s">
        <v>436</v>
      </c>
      <c r="G532" s="33" t="s">
        <v>1107</v>
      </c>
      <c r="H532" s="33" t="s">
        <v>603</v>
      </c>
      <c r="I532" s="36" t="s">
        <v>555</v>
      </c>
      <c r="J532" s="36" t="s">
        <v>875</v>
      </c>
      <c r="K532" s="36" t="s">
        <v>1093</v>
      </c>
      <c r="L532" s="37">
        <v>462.67</v>
      </c>
      <c r="M532" s="271">
        <v>2935</v>
      </c>
      <c r="N532" s="34"/>
      <c r="O532" s="34" t="s">
        <v>1108</v>
      </c>
      <c r="P532" s="272" t="s">
        <v>1110</v>
      </c>
    </row>
    <row r="533" spans="1:16" x14ac:dyDescent="0.25">
      <c r="A533" s="270" t="s">
        <v>411</v>
      </c>
      <c r="B533" s="31" t="s">
        <v>410</v>
      </c>
      <c r="C533" s="31" t="s">
        <v>418</v>
      </c>
      <c r="D533" s="31" t="s">
        <v>434</v>
      </c>
      <c r="E533" s="31" t="s">
        <v>194</v>
      </c>
      <c r="F533" s="35" t="s">
        <v>436</v>
      </c>
      <c r="G533" s="33" t="s">
        <v>1092</v>
      </c>
      <c r="H533" s="33" t="s">
        <v>603</v>
      </c>
      <c r="I533" s="36" t="s">
        <v>555</v>
      </c>
      <c r="J533" s="36" t="s">
        <v>875</v>
      </c>
      <c r="K533" s="36" t="s">
        <v>1093</v>
      </c>
      <c r="L533" s="37">
        <v>1280.3499999999999</v>
      </c>
      <c r="M533" s="271">
        <v>2690</v>
      </c>
      <c r="N533" s="34"/>
      <c r="O533" s="34" t="s">
        <v>1096</v>
      </c>
      <c r="P533" s="272" t="s">
        <v>1101</v>
      </c>
    </row>
    <row r="534" spans="1:16" x14ac:dyDescent="0.25">
      <c r="A534" s="270" t="s">
        <v>411</v>
      </c>
      <c r="B534" s="31" t="s">
        <v>410</v>
      </c>
      <c r="C534" s="31" t="s">
        <v>418</v>
      </c>
      <c r="D534" s="31" t="s">
        <v>434</v>
      </c>
      <c r="E534" s="31" t="s">
        <v>194</v>
      </c>
      <c r="F534" s="35" t="s">
        <v>436</v>
      </c>
      <c r="G534" s="33" t="s">
        <v>1092</v>
      </c>
      <c r="H534" s="33" t="s">
        <v>603</v>
      </c>
      <c r="I534" s="36" t="s">
        <v>555</v>
      </c>
      <c r="J534" s="36" t="s">
        <v>875</v>
      </c>
      <c r="K534" s="36" t="s">
        <v>1093</v>
      </c>
      <c r="L534" s="37">
        <v>2716.09</v>
      </c>
      <c r="M534" s="271">
        <v>4000</v>
      </c>
      <c r="N534" s="34"/>
      <c r="O534" s="34" t="s">
        <v>1099</v>
      </c>
      <c r="P534" s="272" t="s">
        <v>1100</v>
      </c>
    </row>
    <row r="535" spans="1:16" x14ac:dyDescent="0.25">
      <c r="A535" s="270" t="s">
        <v>411</v>
      </c>
      <c r="B535" s="31" t="s">
        <v>410</v>
      </c>
      <c r="C535" s="31" t="s">
        <v>418</v>
      </c>
      <c r="D535" s="31" t="s">
        <v>434</v>
      </c>
      <c r="E535" s="31" t="s">
        <v>194</v>
      </c>
      <c r="F535" s="35" t="s">
        <v>436</v>
      </c>
      <c r="G535" s="33" t="s">
        <v>1143</v>
      </c>
      <c r="H535" s="33" t="s">
        <v>603</v>
      </c>
      <c r="I535" s="36" t="s">
        <v>555</v>
      </c>
      <c r="J535" s="36" t="s">
        <v>875</v>
      </c>
      <c r="K535" s="36" t="s">
        <v>508</v>
      </c>
      <c r="L535" s="37">
        <v>479.65</v>
      </c>
      <c r="M535" s="271">
        <v>7580</v>
      </c>
      <c r="N535" s="34"/>
      <c r="O535" s="34" t="s">
        <v>508</v>
      </c>
      <c r="P535" s="272" t="s">
        <v>1144</v>
      </c>
    </row>
    <row r="536" spans="1:16" x14ac:dyDescent="0.25">
      <c r="A536" s="270" t="s">
        <v>411</v>
      </c>
      <c r="B536" s="31" t="s">
        <v>410</v>
      </c>
      <c r="C536" s="31" t="s">
        <v>418</v>
      </c>
      <c r="D536" s="31" t="s">
        <v>434</v>
      </c>
      <c r="E536" s="31" t="s">
        <v>194</v>
      </c>
      <c r="F536" s="35" t="s">
        <v>436</v>
      </c>
      <c r="G536" s="33" t="s">
        <v>1166</v>
      </c>
      <c r="H536" s="33" t="s">
        <v>603</v>
      </c>
      <c r="I536" s="36" t="s">
        <v>555</v>
      </c>
      <c r="J536" s="36" t="s">
        <v>875</v>
      </c>
      <c r="K536" s="36" t="s">
        <v>519</v>
      </c>
      <c r="L536" s="37">
        <v>0</v>
      </c>
      <c r="M536" s="271">
        <v>0</v>
      </c>
      <c r="N536" s="34"/>
      <c r="O536" s="34" t="s">
        <v>1161</v>
      </c>
      <c r="P536" s="272" t="s">
        <v>1164</v>
      </c>
    </row>
    <row r="537" spans="1:16" x14ac:dyDescent="0.25">
      <c r="A537" s="270" t="s">
        <v>411</v>
      </c>
      <c r="B537" s="31" t="s">
        <v>410</v>
      </c>
      <c r="C537" s="31" t="s">
        <v>418</v>
      </c>
      <c r="D537" s="31" t="s">
        <v>434</v>
      </c>
      <c r="E537" s="31" t="s">
        <v>194</v>
      </c>
      <c r="F537" s="35" t="s">
        <v>436</v>
      </c>
      <c r="G537" s="33" t="s">
        <v>1147</v>
      </c>
      <c r="H537" s="33" t="s">
        <v>603</v>
      </c>
      <c r="I537" s="36" t="s">
        <v>555</v>
      </c>
      <c r="J537" s="36" t="s">
        <v>875</v>
      </c>
      <c r="K537" s="36" t="s">
        <v>517</v>
      </c>
      <c r="L537" s="37">
        <v>17000</v>
      </c>
      <c r="M537" s="271">
        <v>17865</v>
      </c>
      <c r="N537" s="34" t="s">
        <v>973</v>
      </c>
      <c r="O537" s="34" t="s">
        <v>1025</v>
      </c>
      <c r="P537" s="272" t="s">
        <v>1028</v>
      </c>
    </row>
    <row r="538" spans="1:16" x14ac:dyDescent="0.25">
      <c r="A538" s="270" t="s">
        <v>411</v>
      </c>
      <c r="B538" s="31" t="s">
        <v>410</v>
      </c>
      <c r="C538" s="31" t="s">
        <v>418</v>
      </c>
      <c r="D538" s="31" t="s">
        <v>434</v>
      </c>
      <c r="E538" s="31" t="s">
        <v>194</v>
      </c>
      <c r="F538" s="35" t="s">
        <v>436</v>
      </c>
      <c r="G538" s="33" t="s">
        <v>885</v>
      </c>
      <c r="H538" s="33" t="s">
        <v>603</v>
      </c>
      <c r="I538" s="36" t="s">
        <v>555</v>
      </c>
      <c r="J538" s="36" t="s">
        <v>875</v>
      </c>
      <c r="K538" s="36" t="s">
        <v>1195</v>
      </c>
      <c r="L538" s="37">
        <v>6500</v>
      </c>
      <c r="M538" s="271">
        <v>2200</v>
      </c>
      <c r="N538" s="34"/>
      <c r="O538" s="34" t="s">
        <v>1192</v>
      </c>
      <c r="P538" s="272" t="s">
        <v>1188</v>
      </c>
    </row>
    <row r="539" spans="1:16" x14ac:dyDescent="0.25">
      <c r="A539" s="270" t="s">
        <v>411</v>
      </c>
      <c r="B539" s="31" t="s">
        <v>410</v>
      </c>
      <c r="C539" s="31" t="s">
        <v>418</v>
      </c>
      <c r="D539" s="31" t="s">
        <v>434</v>
      </c>
      <c r="E539" s="31" t="s">
        <v>194</v>
      </c>
      <c r="F539" s="35" t="s">
        <v>436</v>
      </c>
      <c r="G539" s="33" t="s">
        <v>885</v>
      </c>
      <c r="H539" s="33" t="s">
        <v>603</v>
      </c>
      <c r="I539" s="36" t="s">
        <v>555</v>
      </c>
      <c r="J539" s="36" t="s">
        <v>875</v>
      </c>
      <c r="K539" s="36" t="s">
        <v>1194</v>
      </c>
      <c r="L539" s="37">
        <v>15000</v>
      </c>
      <c r="M539" s="271">
        <v>1000</v>
      </c>
      <c r="N539" s="34"/>
      <c r="O539" s="34" t="s">
        <v>1185</v>
      </c>
      <c r="P539" s="272" t="s">
        <v>1184</v>
      </c>
    </row>
    <row r="540" spans="1:16" x14ac:dyDescent="0.25">
      <c r="A540" s="270" t="s">
        <v>411</v>
      </c>
      <c r="B540" s="31" t="s">
        <v>410</v>
      </c>
      <c r="C540" s="31" t="s">
        <v>418</v>
      </c>
      <c r="D540" s="31" t="s">
        <v>434</v>
      </c>
      <c r="E540" s="31" t="s">
        <v>194</v>
      </c>
      <c r="F540" s="35" t="s">
        <v>436</v>
      </c>
      <c r="G540" s="33" t="s">
        <v>885</v>
      </c>
      <c r="H540" s="33" t="s">
        <v>603</v>
      </c>
      <c r="I540" s="36" t="s">
        <v>555</v>
      </c>
      <c r="J540" s="36" t="s">
        <v>875</v>
      </c>
      <c r="K540" s="36" t="s">
        <v>1196</v>
      </c>
      <c r="L540" s="37">
        <v>9000</v>
      </c>
      <c r="M540" s="271">
        <v>150</v>
      </c>
      <c r="N540" s="34"/>
      <c r="O540" s="34" t="s">
        <v>1183</v>
      </c>
      <c r="P540" s="272" t="s">
        <v>1180</v>
      </c>
    </row>
    <row r="541" spans="1:16" x14ac:dyDescent="0.25">
      <c r="A541" s="270" t="s">
        <v>411</v>
      </c>
      <c r="B541" s="31" t="s">
        <v>410</v>
      </c>
      <c r="C541" s="31" t="s">
        <v>418</v>
      </c>
      <c r="D541" s="31" t="s">
        <v>434</v>
      </c>
      <c r="E541" s="31" t="s">
        <v>194</v>
      </c>
      <c r="F541" s="35" t="s">
        <v>436</v>
      </c>
      <c r="G541" s="33" t="s">
        <v>929</v>
      </c>
      <c r="H541" s="33" t="s">
        <v>602</v>
      </c>
      <c r="I541" s="36" t="s">
        <v>555</v>
      </c>
      <c r="J541" s="36" t="s">
        <v>875</v>
      </c>
      <c r="K541" s="36" t="s">
        <v>1194</v>
      </c>
      <c r="L541" s="37">
        <v>5000</v>
      </c>
      <c r="M541" s="271">
        <v>5000</v>
      </c>
      <c r="N541" s="34" t="s">
        <v>929</v>
      </c>
      <c r="O541" s="34" t="s">
        <v>1009</v>
      </c>
      <c r="P541" s="272" t="s">
        <v>1012</v>
      </c>
    </row>
    <row r="542" spans="1:16" x14ac:dyDescent="0.25">
      <c r="A542" s="270" t="s">
        <v>411</v>
      </c>
      <c r="B542" s="31" t="s">
        <v>410</v>
      </c>
      <c r="C542" s="31" t="s">
        <v>418</v>
      </c>
      <c r="D542" s="31" t="s">
        <v>434</v>
      </c>
      <c r="E542" s="31" t="s">
        <v>194</v>
      </c>
      <c r="F542" s="35" t="s">
        <v>436</v>
      </c>
      <c r="G542" s="33" t="s">
        <v>885</v>
      </c>
      <c r="H542" s="33" t="s">
        <v>603</v>
      </c>
      <c r="I542" s="36" t="s">
        <v>555</v>
      </c>
      <c r="J542" s="36" t="s">
        <v>875</v>
      </c>
      <c r="K542" s="36" t="s">
        <v>1196</v>
      </c>
      <c r="L542" s="37">
        <v>15000</v>
      </c>
      <c r="M542" s="271">
        <v>4000</v>
      </c>
      <c r="N542" s="34"/>
      <c r="O542" s="34" t="s">
        <v>1181</v>
      </c>
      <c r="P542" s="272" t="s">
        <v>1174</v>
      </c>
    </row>
    <row r="543" spans="1:16" x14ac:dyDescent="0.25">
      <c r="A543" s="270" t="s">
        <v>411</v>
      </c>
      <c r="B543" s="31" t="s">
        <v>410</v>
      </c>
      <c r="C543" s="31" t="s">
        <v>418</v>
      </c>
      <c r="D543" s="31" t="s">
        <v>434</v>
      </c>
      <c r="E543" s="31" t="s">
        <v>194</v>
      </c>
      <c r="F543" s="35" t="s">
        <v>436</v>
      </c>
      <c r="G543" s="33" t="s">
        <v>885</v>
      </c>
      <c r="H543" s="33" t="s">
        <v>603</v>
      </c>
      <c r="I543" s="36" t="s">
        <v>555</v>
      </c>
      <c r="J543" s="36" t="s">
        <v>875</v>
      </c>
      <c r="K543" s="36" t="s">
        <v>1196</v>
      </c>
      <c r="L543" s="37">
        <v>10000</v>
      </c>
      <c r="M543" s="271">
        <v>0</v>
      </c>
      <c r="N543" s="34"/>
      <c r="O543" s="34" t="s">
        <v>1182</v>
      </c>
      <c r="P543" s="272" t="s">
        <v>1175</v>
      </c>
    </row>
    <row r="544" spans="1:16" x14ac:dyDescent="0.25">
      <c r="A544" s="270" t="s">
        <v>411</v>
      </c>
      <c r="B544" s="31" t="s">
        <v>410</v>
      </c>
      <c r="C544" s="31" t="s">
        <v>418</v>
      </c>
      <c r="D544" s="31" t="s">
        <v>434</v>
      </c>
      <c r="E544" s="31" t="s">
        <v>194</v>
      </c>
      <c r="F544" s="35" t="s">
        <v>436</v>
      </c>
      <c r="G544" s="33" t="s">
        <v>885</v>
      </c>
      <c r="H544" s="33" t="s">
        <v>603</v>
      </c>
      <c r="I544" s="36" t="s">
        <v>555</v>
      </c>
      <c r="J544" s="36" t="s">
        <v>875</v>
      </c>
      <c r="K544" s="36" t="s">
        <v>1045</v>
      </c>
      <c r="L544" s="37">
        <v>944.4</v>
      </c>
      <c r="M544" s="271">
        <v>4440</v>
      </c>
      <c r="N544" s="34"/>
      <c r="O544" s="34" t="s">
        <v>1047</v>
      </c>
      <c r="P544" s="272" t="s">
        <v>1046</v>
      </c>
    </row>
    <row r="545" spans="1:16" x14ac:dyDescent="0.25">
      <c r="A545" s="270" t="s">
        <v>411</v>
      </c>
      <c r="B545" s="31" t="s">
        <v>410</v>
      </c>
      <c r="C545" s="31" t="s">
        <v>418</v>
      </c>
      <c r="D545" s="31" t="s">
        <v>434</v>
      </c>
      <c r="E545" s="31" t="s">
        <v>194</v>
      </c>
      <c r="F545" s="35" t="s">
        <v>436</v>
      </c>
      <c r="G545" s="33" t="s">
        <v>929</v>
      </c>
      <c r="H545" s="33" t="s">
        <v>602</v>
      </c>
      <c r="I545" s="36" t="s">
        <v>555</v>
      </c>
      <c r="J545" s="36" t="s">
        <v>875</v>
      </c>
      <c r="K545" s="36" t="s">
        <v>573</v>
      </c>
      <c r="L545" s="37">
        <v>1178.75</v>
      </c>
      <c r="M545" s="271">
        <v>1250</v>
      </c>
      <c r="N545" s="34" t="s">
        <v>929</v>
      </c>
      <c r="O545" s="34" t="s">
        <v>573</v>
      </c>
      <c r="P545" s="272" t="s">
        <v>954</v>
      </c>
    </row>
    <row r="546" spans="1:16" x14ac:dyDescent="0.25">
      <c r="A546" s="270" t="s">
        <v>411</v>
      </c>
      <c r="B546" s="31" t="s">
        <v>410</v>
      </c>
      <c r="C546" s="31" t="s">
        <v>418</v>
      </c>
      <c r="D546" s="31" t="s">
        <v>434</v>
      </c>
      <c r="E546" s="31" t="s">
        <v>194</v>
      </c>
      <c r="F546" s="35" t="s">
        <v>436</v>
      </c>
      <c r="G546" s="33" t="s">
        <v>929</v>
      </c>
      <c r="H546" s="33" t="s">
        <v>602</v>
      </c>
      <c r="I546" s="36" t="s">
        <v>555</v>
      </c>
      <c r="J546" s="36" t="s">
        <v>875</v>
      </c>
      <c r="K546" s="36" t="s">
        <v>950</v>
      </c>
      <c r="L546" s="37">
        <v>3000</v>
      </c>
      <c r="M546" s="271">
        <v>3500</v>
      </c>
      <c r="N546" s="34" t="s">
        <v>929</v>
      </c>
      <c r="O546" s="34" t="s">
        <v>950</v>
      </c>
      <c r="P546" s="272" t="s">
        <v>955</v>
      </c>
    </row>
    <row r="547" spans="1:16" x14ac:dyDescent="0.25">
      <c r="A547" s="270" t="s">
        <v>411</v>
      </c>
      <c r="B547" s="31" t="s">
        <v>410</v>
      </c>
      <c r="C547" s="31" t="s">
        <v>418</v>
      </c>
      <c r="D547" s="31" t="s">
        <v>434</v>
      </c>
      <c r="E547" s="31" t="s">
        <v>194</v>
      </c>
      <c r="F547" s="35" t="s">
        <v>436</v>
      </c>
      <c r="G547" s="33" t="s">
        <v>513</v>
      </c>
      <c r="H547" s="33" t="s">
        <v>603</v>
      </c>
      <c r="I547" s="36" t="s">
        <v>555</v>
      </c>
      <c r="J547" s="36" t="s">
        <v>875</v>
      </c>
      <c r="K547" s="36" t="s">
        <v>904</v>
      </c>
      <c r="L547" s="37">
        <v>2113</v>
      </c>
      <c r="M547" s="271">
        <v>4000</v>
      </c>
      <c r="N547" s="34"/>
      <c r="O547" s="34" t="s">
        <v>1052</v>
      </c>
      <c r="P547" s="272" t="s">
        <v>1051</v>
      </c>
    </row>
    <row r="548" spans="1:16" x14ac:dyDescent="0.25">
      <c r="A548" s="270" t="s">
        <v>411</v>
      </c>
      <c r="B548" s="31" t="s">
        <v>410</v>
      </c>
      <c r="C548" s="31" t="s">
        <v>418</v>
      </c>
      <c r="D548" s="31" t="s">
        <v>434</v>
      </c>
      <c r="E548" s="31" t="s">
        <v>194</v>
      </c>
      <c r="F548" s="35" t="s">
        <v>436</v>
      </c>
      <c r="G548" s="33" t="s">
        <v>527</v>
      </c>
      <c r="H548" s="33" t="s">
        <v>603</v>
      </c>
      <c r="I548" s="36" t="s">
        <v>555</v>
      </c>
      <c r="J548" s="36" t="s">
        <v>875</v>
      </c>
      <c r="K548" s="36" t="s">
        <v>518</v>
      </c>
      <c r="L548" s="37">
        <f>1460000+190000</f>
        <v>1650000</v>
      </c>
      <c r="M548" s="271">
        <v>1650000</v>
      </c>
      <c r="N548" s="34" t="s">
        <v>973</v>
      </c>
      <c r="O548" s="34" t="s">
        <v>975</v>
      </c>
      <c r="P548" s="272" t="s">
        <v>976</v>
      </c>
    </row>
    <row r="549" spans="1:16" x14ac:dyDescent="0.25">
      <c r="A549" s="270" t="s">
        <v>411</v>
      </c>
      <c r="B549" s="31" t="s">
        <v>410</v>
      </c>
      <c r="C549" s="31" t="s">
        <v>418</v>
      </c>
      <c r="D549" s="31" t="s">
        <v>434</v>
      </c>
      <c r="E549" s="31" t="s">
        <v>195</v>
      </c>
      <c r="F549" s="35" t="s">
        <v>437</v>
      </c>
      <c r="G549" s="33" t="s">
        <v>506</v>
      </c>
      <c r="H549" s="33" t="s">
        <v>603</v>
      </c>
      <c r="I549" s="36" t="s">
        <v>552</v>
      </c>
      <c r="J549" s="36" t="s">
        <v>580</v>
      </c>
      <c r="K549" s="36" t="s">
        <v>1056</v>
      </c>
      <c r="L549" s="37">
        <v>100</v>
      </c>
      <c r="M549" s="271">
        <v>0</v>
      </c>
      <c r="N549" s="34"/>
      <c r="O549" s="34" t="s">
        <v>1057</v>
      </c>
      <c r="P549" s="272" t="s">
        <v>1128</v>
      </c>
    </row>
    <row r="550" spans="1:16" x14ac:dyDescent="0.25">
      <c r="A550" s="270" t="s">
        <v>411</v>
      </c>
      <c r="B550" s="31" t="s">
        <v>410</v>
      </c>
      <c r="C550" s="31" t="s">
        <v>418</v>
      </c>
      <c r="D550" s="31" t="s">
        <v>434</v>
      </c>
      <c r="E550" s="31" t="s">
        <v>195</v>
      </c>
      <c r="F550" s="35" t="s">
        <v>437</v>
      </c>
      <c r="G550" s="33" t="s">
        <v>505</v>
      </c>
      <c r="H550" s="33" t="s">
        <v>603</v>
      </c>
      <c r="I550" s="36" t="s">
        <v>552</v>
      </c>
      <c r="J550" s="36" t="s">
        <v>580</v>
      </c>
      <c r="K550" s="36" t="s">
        <v>1056</v>
      </c>
      <c r="L550" s="37">
        <v>0</v>
      </c>
      <c r="M550" s="271">
        <v>0</v>
      </c>
      <c r="N550" s="34"/>
      <c r="O550" s="34" t="s">
        <v>1058</v>
      </c>
      <c r="P550" s="272" t="s">
        <v>1127</v>
      </c>
    </row>
    <row r="551" spans="1:16" x14ac:dyDescent="0.25">
      <c r="A551" s="270" t="s">
        <v>411</v>
      </c>
      <c r="B551" s="31" t="s">
        <v>410</v>
      </c>
      <c r="C551" s="31" t="s">
        <v>418</v>
      </c>
      <c r="D551" s="31" t="s">
        <v>434</v>
      </c>
      <c r="E551" s="31" t="s">
        <v>195</v>
      </c>
      <c r="F551" s="35" t="s">
        <v>437</v>
      </c>
      <c r="G551" s="33" t="s">
        <v>507</v>
      </c>
      <c r="H551" s="33" t="s">
        <v>603</v>
      </c>
      <c r="I551" s="36" t="s">
        <v>552</v>
      </c>
      <c r="J551" s="36" t="s">
        <v>580</v>
      </c>
      <c r="K551" s="36" t="s">
        <v>1056</v>
      </c>
      <c r="L551" s="37">
        <v>0</v>
      </c>
      <c r="M551" s="271">
        <v>0</v>
      </c>
      <c r="N551" s="34"/>
      <c r="O551" s="34" t="s">
        <v>1055</v>
      </c>
      <c r="P551" s="272" t="s">
        <v>1054</v>
      </c>
    </row>
    <row r="552" spans="1:16" x14ac:dyDescent="0.25">
      <c r="A552" s="270" t="s">
        <v>411</v>
      </c>
      <c r="B552" s="31" t="s">
        <v>410</v>
      </c>
      <c r="C552" s="31" t="s">
        <v>418</v>
      </c>
      <c r="D552" s="31" t="s">
        <v>434</v>
      </c>
      <c r="E552" s="31" t="s">
        <v>195</v>
      </c>
      <c r="F552" s="35" t="s">
        <v>437</v>
      </c>
      <c r="G552" s="33" t="s">
        <v>1136</v>
      </c>
      <c r="H552" s="33" t="s">
        <v>603</v>
      </c>
      <c r="I552" s="36" t="s">
        <v>552</v>
      </c>
      <c r="J552" s="36" t="s">
        <v>580</v>
      </c>
      <c r="K552" s="36" t="s">
        <v>503</v>
      </c>
      <c r="L552" s="37">
        <v>1789.98</v>
      </c>
      <c r="M552" s="271">
        <v>4750</v>
      </c>
      <c r="N552" s="34"/>
      <c r="O552" s="34" t="s">
        <v>1126</v>
      </c>
      <c r="P552" s="272" t="s">
        <v>1023</v>
      </c>
    </row>
    <row r="553" spans="1:16" x14ac:dyDescent="0.25">
      <c r="A553" s="270" t="s">
        <v>411</v>
      </c>
      <c r="B553" s="31" t="s">
        <v>410</v>
      </c>
      <c r="C553" s="31" t="s">
        <v>418</v>
      </c>
      <c r="D553" s="31" t="s">
        <v>434</v>
      </c>
      <c r="E553" s="31" t="s">
        <v>195</v>
      </c>
      <c r="F553" s="35" t="s">
        <v>437</v>
      </c>
      <c r="G553" s="33" t="s">
        <v>1130</v>
      </c>
      <c r="H553" s="33" t="s">
        <v>603</v>
      </c>
      <c r="I553" s="36" t="s">
        <v>552</v>
      </c>
      <c r="J553" s="36" t="s">
        <v>580</v>
      </c>
      <c r="K553" s="36" t="s">
        <v>504</v>
      </c>
      <c r="L553" s="37">
        <v>1789.98</v>
      </c>
      <c r="M553" s="271">
        <v>9250</v>
      </c>
      <c r="N553" s="34"/>
      <c r="O553" s="34" t="s">
        <v>1126</v>
      </c>
      <c r="P553" s="272" t="s">
        <v>1023</v>
      </c>
    </row>
    <row r="554" spans="1:16" x14ac:dyDescent="0.25">
      <c r="A554" s="270" t="s">
        <v>411</v>
      </c>
      <c r="B554" s="31" t="s">
        <v>410</v>
      </c>
      <c r="C554" s="31" t="s">
        <v>418</v>
      </c>
      <c r="D554" s="31" t="s">
        <v>434</v>
      </c>
      <c r="E554" s="31" t="s">
        <v>195</v>
      </c>
      <c r="F554" s="35" t="s">
        <v>437</v>
      </c>
      <c r="G554" s="33" t="s">
        <v>1130</v>
      </c>
      <c r="H554" s="33" t="s">
        <v>603</v>
      </c>
      <c r="I554" s="36" t="s">
        <v>552</v>
      </c>
      <c r="J554" s="36" t="s">
        <v>580</v>
      </c>
      <c r="K554" s="36" t="s">
        <v>505</v>
      </c>
      <c r="L554" s="37">
        <v>1789.98</v>
      </c>
      <c r="M554" s="271">
        <v>9250</v>
      </c>
      <c r="N554" s="34"/>
      <c r="O554" s="34" t="s">
        <v>1126</v>
      </c>
      <c r="P554" s="272" t="s">
        <v>1023</v>
      </c>
    </row>
    <row r="555" spans="1:16" x14ac:dyDescent="0.25">
      <c r="A555" s="270" t="s">
        <v>411</v>
      </c>
      <c r="B555" s="31" t="s">
        <v>410</v>
      </c>
      <c r="C555" s="31" t="s">
        <v>418</v>
      </c>
      <c r="D555" s="31" t="s">
        <v>434</v>
      </c>
      <c r="E555" s="31" t="s">
        <v>195</v>
      </c>
      <c r="F555" s="35" t="s">
        <v>437</v>
      </c>
      <c r="G555" s="33" t="s">
        <v>1124</v>
      </c>
      <c r="H555" s="33" t="s">
        <v>603</v>
      </c>
      <c r="I555" s="36" t="s">
        <v>552</v>
      </c>
      <c r="J555" s="36" t="s">
        <v>580</v>
      </c>
      <c r="K555" s="36" t="s">
        <v>505</v>
      </c>
      <c r="L555" s="37">
        <v>461.5</v>
      </c>
      <c r="M555" s="271">
        <v>4450</v>
      </c>
      <c r="N555" s="34"/>
      <c r="O555" s="34" t="s">
        <v>1125</v>
      </c>
      <c r="P555" s="272" t="s">
        <v>1024</v>
      </c>
    </row>
    <row r="556" spans="1:16" x14ac:dyDescent="0.25">
      <c r="A556" s="270" t="s">
        <v>411</v>
      </c>
      <c r="B556" s="31" t="s">
        <v>410</v>
      </c>
      <c r="C556" s="31" t="s">
        <v>418</v>
      </c>
      <c r="D556" s="31" t="s">
        <v>434</v>
      </c>
      <c r="E556" s="31" t="s">
        <v>195</v>
      </c>
      <c r="F556" s="35" t="s">
        <v>437</v>
      </c>
      <c r="G556" s="33" t="s">
        <v>1137</v>
      </c>
      <c r="H556" s="33" t="s">
        <v>603</v>
      </c>
      <c r="I556" s="36" t="s">
        <v>552</v>
      </c>
      <c r="J556" s="36" t="s">
        <v>580</v>
      </c>
      <c r="K556" s="36" t="s">
        <v>506</v>
      </c>
      <c r="L556" s="37">
        <v>1789.98</v>
      </c>
      <c r="M556" s="271">
        <v>9250</v>
      </c>
      <c r="N556" s="34"/>
      <c r="O556" s="34" t="s">
        <v>1126</v>
      </c>
      <c r="P556" s="272" t="s">
        <v>1023</v>
      </c>
    </row>
    <row r="557" spans="1:16" x14ac:dyDescent="0.25">
      <c r="A557" s="270" t="s">
        <v>411</v>
      </c>
      <c r="B557" s="31" t="s">
        <v>410</v>
      </c>
      <c r="C557" s="31" t="s">
        <v>418</v>
      </c>
      <c r="D557" s="31" t="s">
        <v>434</v>
      </c>
      <c r="E557" s="31" t="s">
        <v>195</v>
      </c>
      <c r="F557" s="35" t="s">
        <v>437</v>
      </c>
      <c r="G557" s="33" t="s">
        <v>1140</v>
      </c>
      <c r="H557" s="33" t="s">
        <v>603</v>
      </c>
      <c r="I557" s="36" t="s">
        <v>552</v>
      </c>
      <c r="J557" s="36" t="s">
        <v>580</v>
      </c>
      <c r="K557" s="36" t="s">
        <v>507</v>
      </c>
      <c r="L557" s="37">
        <v>1789.98</v>
      </c>
      <c r="M557" s="271">
        <v>9250</v>
      </c>
      <c r="N557" s="34"/>
      <c r="O557" s="34" t="s">
        <v>1126</v>
      </c>
      <c r="P557" s="272" t="s">
        <v>1023</v>
      </c>
    </row>
    <row r="558" spans="1:16" x14ac:dyDescent="0.25">
      <c r="A558" s="270" t="s">
        <v>411</v>
      </c>
      <c r="B558" s="31" t="s">
        <v>410</v>
      </c>
      <c r="C558" s="31" t="s">
        <v>418</v>
      </c>
      <c r="D558" s="31" t="s">
        <v>434</v>
      </c>
      <c r="E558" s="31" t="s">
        <v>195</v>
      </c>
      <c r="F558" s="35" t="s">
        <v>437</v>
      </c>
      <c r="G558" s="33" t="s">
        <v>1154</v>
      </c>
      <c r="H558" s="33" t="s">
        <v>603</v>
      </c>
      <c r="I558" s="36" t="s">
        <v>552</v>
      </c>
      <c r="J558" s="36" t="s">
        <v>580</v>
      </c>
      <c r="K558" s="36" t="s">
        <v>502</v>
      </c>
      <c r="L558" s="37">
        <v>3000</v>
      </c>
      <c r="M558" s="271">
        <v>6090</v>
      </c>
      <c r="N558" s="34"/>
      <c r="O558" s="34" t="s">
        <v>502</v>
      </c>
      <c r="P558" s="272" t="s">
        <v>1155</v>
      </c>
    </row>
    <row r="559" spans="1:16" x14ac:dyDescent="0.25">
      <c r="A559" s="270" t="s">
        <v>411</v>
      </c>
      <c r="B559" s="31" t="s">
        <v>410</v>
      </c>
      <c r="C559" s="31" t="s">
        <v>418</v>
      </c>
      <c r="D559" s="31" t="s">
        <v>434</v>
      </c>
      <c r="E559" s="31" t="s">
        <v>195</v>
      </c>
      <c r="F559" s="35" t="s">
        <v>437</v>
      </c>
      <c r="G559" s="33" t="s">
        <v>1151</v>
      </c>
      <c r="H559" s="33" t="s">
        <v>603</v>
      </c>
      <c r="I559" s="36" t="s">
        <v>553</v>
      </c>
      <c r="J559" s="36" t="s">
        <v>581</v>
      </c>
      <c r="K559" s="36" t="s">
        <v>516</v>
      </c>
      <c r="L559" s="37">
        <v>500</v>
      </c>
      <c r="M559" s="271">
        <v>2500</v>
      </c>
      <c r="N559" s="34"/>
      <c r="O559" s="34" t="s">
        <v>516</v>
      </c>
      <c r="P559" s="272" t="s">
        <v>1148</v>
      </c>
    </row>
    <row r="560" spans="1:16" x14ac:dyDescent="0.25">
      <c r="A560" s="270" t="s">
        <v>411</v>
      </c>
      <c r="B560" s="31" t="s">
        <v>410</v>
      </c>
      <c r="C560" s="31" t="s">
        <v>418</v>
      </c>
      <c r="D560" s="31" t="s">
        <v>434</v>
      </c>
      <c r="E560" s="31" t="s">
        <v>195</v>
      </c>
      <c r="F560" s="35" t="s">
        <v>437</v>
      </c>
      <c r="G560" s="33" t="s">
        <v>528</v>
      </c>
      <c r="H560" s="33" t="s">
        <v>603</v>
      </c>
      <c r="I560" s="36" t="s">
        <v>553</v>
      </c>
      <c r="J560" s="36" t="s">
        <v>581</v>
      </c>
      <c r="K560" s="36" t="s">
        <v>605</v>
      </c>
      <c r="L560" s="37">
        <v>1024.6199999999999</v>
      </c>
      <c r="M560" s="271">
        <v>1225</v>
      </c>
      <c r="N560" s="34"/>
      <c r="O560" s="34"/>
      <c r="P560" s="272" t="s">
        <v>1035</v>
      </c>
    </row>
    <row r="561" spans="1:16" x14ac:dyDescent="0.25">
      <c r="A561" s="270" t="s">
        <v>411</v>
      </c>
      <c r="B561" s="31" t="s">
        <v>410</v>
      </c>
      <c r="C561" s="31" t="s">
        <v>418</v>
      </c>
      <c r="D561" s="31" t="s">
        <v>434</v>
      </c>
      <c r="E561" s="31" t="s">
        <v>195</v>
      </c>
      <c r="F561" s="35" t="s">
        <v>437</v>
      </c>
      <c r="G561" s="33" t="s">
        <v>501</v>
      </c>
      <c r="H561" s="33" t="s">
        <v>603</v>
      </c>
      <c r="I561" s="36" t="s">
        <v>555</v>
      </c>
      <c r="J561" s="36" t="s">
        <v>577</v>
      </c>
      <c r="K561" s="36" t="s">
        <v>1059</v>
      </c>
      <c r="L561" s="37">
        <v>0</v>
      </c>
      <c r="M561" s="271">
        <v>0</v>
      </c>
      <c r="N561" s="34"/>
      <c r="O561" s="34" t="s">
        <v>1061</v>
      </c>
      <c r="P561" s="272" t="s">
        <v>1060</v>
      </c>
    </row>
    <row r="562" spans="1:16" x14ac:dyDescent="0.25">
      <c r="A562" s="270" t="s">
        <v>411</v>
      </c>
      <c r="B562" s="31" t="s">
        <v>410</v>
      </c>
      <c r="C562" s="31" t="s">
        <v>418</v>
      </c>
      <c r="D562" s="31" t="s">
        <v>434</v>
      </c>
      <c r="E562" s="31" t="s">
        <v>195</v>
      </c>
      <c r="F562" s="35" t="s">
        <v>437</v>
      </c>
      <c r="G562" s="33" t="s">
        <v>1082</v>
      </c>
      <c r="H562" s="33" t="s">
        <v>603</v>
      </c>
      <c r="I562" s="36" t="s">
        <v>555</v>
      </c>
      <c r="J562" s="36" t="s">
        <v>577</v>
      </c>
      <c r="K562" s="36" t="s">
        <v>1059</v>
      </c>
      <c r="L562" s="37">
        <v>0</v>
      </c>
      <c r="M562" s="271">
        <v>0</v>
      </c>
      <c r="N562" s="34"/>
      <c r="O562" s="34" t="s">
        <v>1083</v>
      </c>
      <c r="P562" s="272" t="s">
        <v>1085</v>
      </c>
    </row>
    <row r="563" spans="1:16" x14ac:dyDescent="0.25">
      <c r="A563" s="270" t="s">
        <v>411</v>
      </c>
      <c r="B563" s="31" t="s">
        <v>410</v>
      </c>
      <c r="C563" s="31" t="s">
        <v>418</v>
      </c>
      <c r="D563" s="31" t="s">
        <v>434</v>
      </c>
      <c r="E563" s="31" t="s">
        <v>195</v>
      </c>
      <c r="F563" s="35" t="s">
        <v>437</v>
      </c>
      <c r="G563" s="33" t="s">
        <v>1067</v>
      </c>
      <c r="H563" s="33" t="s">
        <v>603</v>
      </c>
      <c r="I563" s="36" t="s">
        <v>555</v>
      </c>
      <c r="J563" s="36" t="s">
        <v>577</v>
      </c>
      <c r="K563" s="36" t="s">
        <v>589</v>
      </c>
      <c r="L563" s="37">
        <v>0</v>
      </c>
      <c r="M563" s="271">
        <v>0</v>
      </c>
      <c r="N563" s="34"/>
      <c r="O563" s="34" t="s">
        <v>1076</v>
      </c>
      <c r="P563" s="272" t="s">
        <v>1075</v>
      </c>
    </row>
    <row r="564" spans="1:16" x14ac:dyDescent="0.25">
      <c r="A564" s="270" t="s">
        <v>411</v>
      </c>
      <c r="B564" s="31" t="s">
        <v>410</v>
      </c>
      <c r="C564" s="31" t="s">
        <v>418</v>
      </c>
      <c r="D564" s="31" t="s">
        <v>434</v>
      </c>
      <c r="E564" s="31" t="s">
        <v>195</v>
      </c>
      <c r="F564" s="35" t="s">
        <v>437</v>
      </c>
      <c r="G564" s="33" t="s">
        <v>1077</v>
      </c>
      <c r="H564" s="33" t="s">
        <v>603</v>
      </c>
      <c r="I564" s="36" t="s">
        <v>555</v>
      </c>
      <c r="J564" s="36" t="s">
        <v>577</v>
      </c>
      <c r="K564" s="36" t="s">
        <v>509</v>
      </c>
      <c r="L564" s="37">
        <v>0</v>
      </c>
      <c r="M564" s="271">
        <v>15000</v>
      </c>
      <c r="N564" s="34"/>
      <c r="O564" s="34" t="s">
        <v>1078</v>
      </c>
      <c r="P564" s="272" t="s">
        <v>1081</v>
      </c>
    </row>
    <row r="565" spans="1:16" x14ac:dyDescent="0.25">
      <c r="A565" s="270" t="s">
        <v>411</v>
      </c>
      <c r="B565" s="31" t="s">
        <v>410</v>
      </c>
      <c r="C565" s="31" t="s">
        <v>418</v>
      </c>
      <c r="D565" s="31" t="s">
        <v>434</v>
      </c>
      <c r="E565" s="31" t="s">
        <v>195</v>
      </c>
      <c r="F565" s="35" t="s">
        <v>437</v>
      </c>
      <c r="G565" s="33" t="s">
        <v>1068</v>
      </c>
      <c r="H565" s="33" t="s">
        <v>603</v>
      </c>
      <c r="I565" s="36" t="s">
        <v>555</v>
      </c>
      <c r="J565" s="36" t="s">
        <v>577</v>
      </c>
      <c r="K565" s="36" t="s">
        <v>510</v>
      </c>
      <c r="L565" s="37">
        <v>270.60000000000002</v>
      </c>
      <c r="M565" s="271">
        <v>3100</v>
      </c>
      <c r="N565" s="34"/>
      <c r="O565" s="34" t="s">
        <v>1070</v>
      </c>
      <c r="P565" s="272" t="s">
        <v>1072</v>
      </c>
    </row>
    <row r="566" spans="1:16" x14ac:dyDescent="0.25">
      <c r="A566" s="270" t="s">
        <v>411</v>
      </c>
      <c r="B566" s="31" t="s">
        <v>410</v>
      </c>
      <c r="C566" s="31" t="s">
        <v>418</v>
      </c>
      <c r="D566" s="31" t="s">
        <v>434</v>
      </c>
      <c r="E566" s="31" t="s">
        <v>195</v>
      </c>
      <c r="F566" s="35" t="s">
        <v>437</v>
      </c>
      <c r="G566" s="33" t="s">
        <v>1066</v>
      </c>
      <c r="H566" s="33" t="s">
        <v>603</v>
      </c>
      <c r="I566" s="36" t="s">
        <v>555</v>
      </c>
      <c r="J566" s="36" t="s">
        <v>577</v>
      </c>
      <c r="K566" s="36" t="s">
        <v>996</v>
      </c>
      <c r="L566" s="37">
        <v>1378.82</v>
      </c>
      <c r="M566" s="271">
        <v>17205</v>
      </c>
      <c r="N566" s="34"/>
      <c r="O566" s="34" t="s">
        <v>1063</v>
      </c>
      <c r="P566" s="272" t="s">
        <v>1065</v>
      </c>
    </row>
    <row r="567" spans="1:16" x14ac:dyDescent="0.25">
      <c r="A567" s="270" t="s">
        <v>411</v>
      </c>
      <c r="B567" s="31" t="s">
        <v>410</v>
      </c>
      <c r="C567" s="31" t="s">
        <v>418</v>
      </c>
      <c r="D567" s="31" t="s">
        <v>434</v>
      </c>
      <c r="E567" s="31" t="s">
        <v>195</v>
      </c>
      <c r="F567" s="35" t="s">
        <v>437</v>
      </c>
      <c r="G567" s="33" t="s">
        <v>554</v>
      </c>
      <c r="H567" s="33" t="s">
        <v>603</v>
      </c>
      <c r="I567" s="36" t="s">
        <v>555</v>
      </c>
      <c r="J567" s="36" t="s">
        <v>577</v>
      </c>
      <c r="K567" s="36" t="s">
        <v>554</v>
      </c>
      <c r="L567" s="37">
        <v>10000.870000000001</v>
      </c>
      <c r="M567" s="271">
        <v>10960</v>
      </c>
      <c r="N567" s="34"/>
      <c r="O567" s="34" t="s">
        <v>554</v>
      </c>
      <c r="P567" s="272" t="s">
        <v>1193</v>
      </c>
    </row>
    <row r="568" spans="1:16" x14ac:dyDescent="0.25">
      <c r="A568" s="270" t="s">
        <v>411</v>
      </c>
      <c r="B568" s="31" t="s">
        <v>410</v>
      </c>
      <c r="C568" s="31" t="s">
        <v>418</v>
      </c>
      <c r="D568" s="31" t="s">
        <v>434</v>
      </c>
      <c r="E568" s="31" t="s">
        <v>195</v>
      </c>
      <c r="F568" s="35" t="s">
        <v>437</v>
      </c>
      <c r="G568" s="33" t="s">
        <v>1117</v>
      </c>
      <c r="H568" s="33" t="s">
        <v>603</v>
      </c>
      <c r="I568" s="36" t="s">
        <v>555</v>
      </c>
      <c r="J568" s="36" t="s">
        <v>578</v>
      </c>
      <c r="K568" s="36" t="s">
        <v>1118</v>
      </c>
      <c r="L568" s="37">
        <v>2000</v>
      </c>
      <c r="M568" s="271">
        <v>2500</v>
      </c>
      <c r="N568" s="34"/>
      <c r="O568" s="34" t="s">
        <v>1119</v>
      </c>
      <c r="P568" s="272" t="s">
        <v>1120</v>
      </c>
    </row>
    <row r="569" spans="1:16" x14ac:dyDescent="0.25">
      <c r="A569" s="270" t="s">
        <v>411</v>
      </c>
      <c r="B569" s="31" t="s">
        <v>410</v>
      </c>
      <c r="C569" s="31" t="s">
        <v>418</v>
      </c>
      <c r="D569" s="31" t="s">
        <v>434</v>
      </c>
      <c r="E569" s="31" t="s">
        <v>195</v>
      </c>
      <c r="F569" s="35" t="s">
        <v>437</v>
      </c>
      <c r="G569" s="33" t="s">
        <v>929</v>
      </c>
      <c r="H569" s="33" t="s">
        <v>602</v>
      </c>
      <c r="I569" s="36" t="s">
        <v>555</v>
      </c>
      <c r="J569" s="36" t="s">
        <v>578</v>
      </c>
      <c r="K569" s="36" t="s">
        <v>571</v>
      </c>
      <c r="L569" s="37">
        <v>4484.6899999999996</v>
      </c>
      <c r="M569" s="271">
        <v>4500</v>
      </c>
      <c r="N569" s="34" t="s">
        <v>929</v>
      </c>
      <c r="O569" s="34" t="s">
        <v>930</v>
      </c>
      <c r="P569" s="272" t="s">
        <v>928</v>
      </c>
    </row>
    <row r="570" spans="1:16" x14ac:dyDescent="0.25">
      <c r="A570" s="270" t="s">
        <v>411</v>
      </c>
      <c r="B570" s="31" t="s">
        <v>410</v>
      </c>
      <c r="C570" s="31" t="s">
        <v>418</v>
      </c>
      <c r="D570" s="31" t="s">
        <v>434</v>
      </c>
      <c r="E570" s="31" t="s">
        <v>195</v>
      </c>
      <c r="F570" s="35" t="s">
        <v>437</v>
      </c>
      <c r="G570" s="33" t="s">
        <v>1112</v>
      </c>
      <c r="H570" s="33" t="s">
        <v>603</v>
      </c>
      <c r="I570" s="36" t="s">
        <v>555</v>
      </c>
      <c r="J570" s="36" t="s">
        <v>578</v>
      </c>
      <c r="K570" s="36" t="s">
        <v>1113</v>
      </c>
      <c r="L570" s="37">
        <v>0</v>
      </c>
      <c r="M570" s="271">
        <v>0</v>
      </c>
      <c r="N570" s="34"/>
      <c r="O570" s="34" t="s">
        <v>1114</v>
      </c>
      <c r="P570" s="272" t="s">
        <v>1115</v>
      </c>
    </row>
    <row r="571" spans="1:16" x14ac:dyDescent="0.25">
      <c r="A571" s="270" t="s">
        <v>411</v>
      </c>
      <c r="B571" s="31" t="s">
        <v>410</v>
      </c>
      <c r="C571" s="31" t="s">
        <v>418</v>
      </c>
      <c r="D571" s="31" t="s">
        <v>434</v>
      </c>
      <c r="E571" s="31" t="s">
        <v>195</v>
      </c>
      <c r="F571" s="35" t="s">
        <v>437</v>
      </c>
      <c r="G571" s="33" t="s">
        <v>1092</v>
      </c>
      <c r="H571" s="33" t="s">
        <v>603</v>
      </c>
      <c r="I571" s="36" t="s">
        <v>555</v>
      </c>
      <c r="J571" s="36" t="s">
        <v>875</v>
      </c>
      <c r="K571" s="36" t="s">
        <v>1093</v>
      </c>
      <c r="L571" s="37">
        <v>0</v>
      </c>
      <c r="M571" s="271">
        <v>0</v>
      </c>
      <c r="N571" s="34"/>
      <c r="O571" s="34" t="s">
        <v>1094</v>
      </c>
      <c r="P571" s="272" t="s">
        <v>1105</v>
      </c>
    </row>
    <row r="572" spans="1:16" x14ac:dyDescent="0.25">
      <c r="A572" s="270" t="s">
        <v>411</v>
      </c>
      <c r="B572" s="31" t="s">
        <v>410</v>
      </c>
      <c r="C572" s="31" t="s">
        <v>418</v>
      </c>
      <c r="D572" s="31" t="s">
        <v>434</v>
      </c>
      <c r="E572" s="31" t="s">
        <v>195</v>
      </c>
      <c r="F572" s="35" t="s">
        <v>437</v>
      </c>
      <c r="G572" s="33" t="s">
        <v>1107</v>
      </c>
      <c r="H572" s="33" t="s">
        <v>603</v>
      </c>
      <c r="I572" s="36" t="s">
        <v>555</v>
      </c>
      <c r="J572" s="36" t="s">
        <v>875</v>
      </c>
      <c r="K572" s="36" t="s">
        <v>1093</v>
      </c>
      <c r="L572" s="37">
        <v>0</v>
      </c>
      <c r="M572" s="271">
        <v>0</v>
      </c>
      <c r="N572" s="34"/>
      <c r="O572" s="34" t="s">
        <v>1108</v>
      </c>
      <c r="P572" s="272" t="s">
        <v>1111</v>
      </c>
    </row>
    <row r="573" spans="1:16" x14ac:dyDescent="0.25">
      <c r="A573" s="270" t="s">
        <v>411</v>
      </c>
      <c r="B573" s="31" t="s">
        <v>410</v>
      </c>
      <c r="C573" s="31" t="s">
        <v>418</v>
      </c>
      <c r="D573" s="31" t="s">
        <v>434</v>
      </c>
      <c r="E573" s="31" t="s">
        <v>195</v>
      </c>
      <c r="F573" s="35" t="s">
        <v>437</v>
      </c>
      <c r="G573" s="33" t="s">
        <v>1092</v>
      </c>
      <c r="H573" s="33" t="s">
        <v>603</v>
      </c>
      <c r="I573" s="36" t="s">
        <v>555</v>
      </c>
      <c r="J573" s="36" t="s">
        <v>875</v>
      </c>
      <c r="K573" s="36" t="s">
        <v>1093</v>
      </c>
      <c r="L573" s="37">
        <v>0</v>
      </c>
      <c r="M573" s="271">
        <v>500</v>
      </c>
      <c r="N573" s="34"/>
      <c r="O573" s="34" t="s">
        <v>1096</v>
      </c>
      <c r="P573" s="272" t="s">
        <v>1098</v>
      </c>
    </row>
    <row r="574" spans="1:16" x14ac:dyDescent="0.25">
      <c r="A574" s="270" t="s">
        <v>411</v>
      </c>
      <c r="B574" s="31" t="s">
        <v>410</v>
      </c>
      <c r="C574" s="31" t="s">
        <v>418</v>
      </c>
      <c r="D574" s="31" t="s">
        <v>434</v>
      </c>
      <c r="E574" s="31" t="s">
        <v>195</v>
      </c>
      <c r="F574" s="35" t="s">
        <v>437</v>
      </c>
      <c r="G574" s="33" t="s">
        <v>1092</v>
      </c>
      <c r="H574" s="33" t="s">
        <v>603</v>
      </c>
      <c r="I574" s="36" t="s">
        <v>555</v>
      </c>
      <c r="J574" s="36" t="s">
        <v>875</v>
      </c>
      <c r="K574" s="36" t="s">
        <v>1093</v>
      </c>
      <c r="L574" s="37">
        <v>0</v>
      </c>
      <c r="M574" s="271">
        <v>1580</v>
      </c>
      <c r="N574" s="34"/>
      <c r="O574" s="34" t="s">
        <v>1099</v>
      </c>
      <c r="P574" s="272" t="s">
        <v>1102</v>
      </c>
    </row>
    <row r="575" spans="1:16" x14ac:dyDescent="0.25">
      <c r="A575" s="270" t="s">
        <v>411</v>
      </c>
      <c r="B575" s="31" t="s">
        <v>410</v>
      </c>
      <c r="C575" s="31" t="s">
        <v>418</v>
      </c>
      <c r="D575" s="31" t="s">
        <v>434</v>
      </c>
      <c r="E575" s="31" t="s">
        <v>195</v>
      </c>
      <c r="F575" s="35" t="s">
        <v>437</v>
      </c>
      <c r="G575" s="33" t="s">
        <v>1166</v>
      </c>
      <c r="H575" s="33" t="s">
        <v>603</v>
      </c>
      <c r="I575" s="36" t="s">
        <v>555</v>
      </c>
      <c r="J575" s="36" t="s">
        <v>875</v>
      </c>
      <c r="K575" s="36" t="s">
        <v>519</v>
      </c>
      <c r="L575" s="37">
        <v>0</v>
      </c>
      <c r="M575" s="271">
        <v>0</v>
      </c>
      <c r="N575" s="34"/>
      <c r="O575" s="34" t="s">
        <v>1161</v>
      </c>
      <c r="P575" s="272" t="s">
        <v>1164</v>
      </c>
    </row>
    <row r="576" spans="1:16" x14ac:dyDescent="0.25">
      <c r="A576" s="270" t="s">
        <v>411</v>
      </c>
      <c r="B576" s="31" t="s">
        <v>410</v>
      </c>
      <c r="C576" s="31" t="s">
        <v>418</v>
      </c>
      <c r="D576" s="31" t="s">
        <v>434</v>
      </c>
      <c r="E576" s="31" t="s">
        <v>195</v>
      </c>
      <c r="F576" s="35" t="s">
        <v>437</v>
      </c>
      <c r="G576" s="33" t="s">
        <v>1147</v>
      </c>
      <c r="H576" s="33" t="s">
        <v>603</v>
      </c>
      <c r="I576" s="36" t="s">
        <v>555</v>
      </c>
      <c r="J576" s="36" t="s">
        <v>875</v>
      </c>
      <c r="K576" s="36" t="s">
        <v>517</v>
      </c>
      <c r="L576" s="37">
        <v>4000</v>
      </c>
      <c r="M576" s="271">
        <v>4000</v>
      </c>
      <c r="N576" s="34" t="s">
        <v>973</v>
      </c>
      <c r="O576" s="34" t="s">
        <v>1025</v>
      </c>
      <c r="P576" s="272" t="s">
        <v>1027</v>
      </c>
    </row>
    <row r="577" spans="1:16" x14ac:dyDescent="0.25">
      <c r="A577" s="270" t="s">
        <v>411</v>
      </c>
      <c r="B577" s="31" t="s">
        <v>410</v>
      </c>
      <c r="C577" s="31" t="s">
        <v>418</v>
      </c>
      <c r="D577" s="31" t="s">
        <v>434</v>
      </c>
      <c r="E577" s="31" t="s">
        <v>195</v>
      </c>
      <c r="F577" s="35" t="s">
        <v>437</v>
      </c>
      <c r="G577" s="33" t="s">
        <v>885</v>
      </c>
      <c r="H577" s="33" t="s">
        <v>603</v>
      </c>
      <c r="I577" s="36" t="s">
        <v>555</v>
      </c>
      <c r="J577" s="36" t="s">
        <v>875</v>
      </c>
      <c r="K577" s="36" t="s">
        <v>1195</v>
      </c>
      <c r="L577" s="37">
        <v>6062.5</v>
      </c>
      <c r="M577" s="271">
        <v>2200</v>
      </c>
      <c r="N577" s="34"/>
      <c r="O577" s="34" t="s">
        <v>1192</v>
      </c>
      <c r="P577" s="272" t="s">
        <v>1188</v>
      </c>
    </row>
    <row r="578" spans="1:16" x14ac:dyDescent="0.25">
      <c r="A578" s="270" t="s">
        <v>411</v>
      </c>
      <c r="B578" s="31" t="s">
        <v>410</v>
      </c>
      <c r="C578" s="31" t="s">
        <v>418</v>
      </c>
      <c r="D578" s="31" t="s">
        <v>434</v>
      </c>
      <c r="E578" s="31" t="s">
        <v>195</v>
      </c>
      <c r="F578" s="35" t="s">
        <v>437</v>
      </c>
      <c r="G578" s="33" t="s">
        <v>885</v>
      </c>
      <c r="H578" s="33" t="s">
        <v>603</v>
      </c>
      <c r="I578" s="36" t="s">
        <v>555</v>
      </c>
      <c r="J578" s="36" t="s">
        <v>875</v>
      </c>
      <c r="K578" s="36" t="s">
        <v>1194</v>
      </c>
      <c r="L578" s="37">
        <v>3637.5</v>
      </c>
      <c r="M578" s="271">
        <v>1010</v>
      </c>
      <c r="N578" s="34"/>
      <c r="O578" s="34" t="s">
        <v>1185</v>
      </c>
      <c r="P578" s="272" t="s">
        <v>1184</v>
      </c>
    </row>
    <row r="579" spans="1:16" x14ac:dyDescent="0.25">
      <c r="A579" s="270" t="s">
        <v>411</v>
      </c>
      <c r="B579" s="31" t="s">
        <v>410</v>
      </c>
      <c r="C579" s="31" t="s">
        <v>418</v>
      </c>
      <c r="D579" s="31" t="s">
        <v>434</v>
      </c>
      <c r="E579" s="31" t="s">
        <v>195</v>
      </c>
      <c r="F579" s="35" t="s">
        <v>437</v>
      </c>
      <c r="G579" s="33" t="s">
        <v>885</v>
      </c>
      <c r="H579" s="33" t="s">
        <v>603</v>
      </c>
      <c r="I579" s="36" t="s">
        <v>555</v>
      </c>
      <c r="J579" s="36" t="s">
        <v>875</v>
      </c>
      <c r="K579" s="36" t="s">
        <v>1196</v>
      </c>
      <c r="L579" s="37">
        <v>1395</v>
      </c>
      <c r="M579" s="271">
        <v>0</v>
      </c>
      <c r="N579" s="34"/>
      <c r="O579" s="34" t="s">
        <v>1183</v>
      </c>
      <c r="P579" s="272" t="s">
        <v>1180</v>
      </c>
    </row>
    <row r="580" spans="1:16" x14ac:dyDescent="0.25">
      <c r="A580" s="270" t="s">
        <v>411</v>
      </c>
      <c r="B580" s="31" t="s">
        <v>410</v>
      </c>
      <c r="C580" s="31" t="s">
        <v>418</v>
      </c>
      <c r="D580" s="31" t="s">
        <v>434</v>
      </c>
      <c r="E580" s="31" t="s">
        <v>195</v>
      </c>
      <c r="F580" s="35" t="s">
        <v>437</v>
      </c>
      <c r="G580" s="33" t="s">
        <v>929</v>
      </c>
      <c r="H580" s="33" t="s">
        <v>602</v>
      </c>
      <c r="I580" s="36" t="s">
        <v>555</v>
      </c>
      <c r="J580" s="36" t="s">
        <v>875</v>
      </c>
      <c r="K580" s="36" t="s">
        <v>1194</v>
      </c>
      <c r="L580" s="37">
        <v>5292.87</v>
      </c>
      <c r="M580" s="271">
        <v>4775</v>
      </c>
      <c r="N580" s="34" t="s">
        <v>929</v>
      </c>
      <c r="O580" s="34" t="s">
        <v>1009</v>
      </c>
      <c r="P580" s="272" t="s">
        <v>1012</v>
      </c>
    </row>
    <row r="581" spans="1:16" x14ac:dyDescent="0.25">
      <c r="A581" s="270" t="s">
        <v>411</v>
      </c>
      <c r="B581" s="31" t="s">
        <v>410</v>
      </c>
      <c r="C581" s="31" t="s">
        <v>418</v>
      </c>
      <c r="D581" s="31" t="s">
        <v>434</v>
      </c>
      <c r="E581" s="31" t="s">
        <v>195</v>
      </c>
      <c r="F581" s="35" t="s">
        <v>437</v>
      </c>
      <c r="G581" s="33" t="s">
        <v>885</v>
      </c>
      <c r="H581" s="33" t="s">
        <v>603</v>
      </c>
      <c r="I581" s="36" t="s">
        <v>555</v>
      </c>
      <c r="J581" s="36" t="s">
        <v>875</v>
      </c>
      <c r="K581" s="36" t="s">
        <v>1196</v>
      </c>
      <c r="L581" s="37">
        <v>8567.5</v>
      </c>
      <c r="M581" s="271">
        <v>2480</v>
      </c>
      <c r="N581" s="34"/>
      <c r="O581" s="34" t="s">
        <v>1181</v>
      </c>
      <c r="P581" s="272" t="s">
        <v>1174</v>
      </c>
    </row>
    <row r="582" spans="1:16" x14ac:dyDescent="0.25">
      <c r="A582" s="270" t="s">
        <v>411</v>
      </c>
      <c r="B582" s="31" t="s">
        <v>410</v>
      </c>
      <c r="C582" s="31" t="s">
        <v>418</v>
      </c>
      <c r="D582" s="31" t="s">
        <v>434</v>
      </c>
      <c r="E582" s="31" t="s">
        <v>195</v>
      </c>
      <c r="F582" s="35" t="s">
        <v>437</v>
      </c>
      <c r="G582" s="33" t="s">
        <v>885</v>
      </c>
      <c r="H582" s="33" t="s">
        <v>603</v>
      </c>
      <c r="I582" s="36" t="s">
        <v>555</v>
      </c>
      <c r="J582" s="36" t="s">
        <v>875</v>
      </c>
      <c r="K582" s="36" t="s">
        <v>1196</v>
      </c>
      <c r="L582" s="37">
        <v>4787.5</v>
      </c>
      <c r="M582" s="271">
        <v>0</v>
      </c>
      <c r="N582" s="34"/>
      <c r="O582" s="34" t="s">
        <v>1182</v>
      </c>
      <c r="P582" s="272" t="s">
        <v>1175</v>
      </c>
    </row>
    <row r="583" spans="1:16" x14ac:dyDescent="0.25">
      <c r="A583" s="270" t="s">
        <v>411</v>
      </c>
      <c r="B583" s="31" t="s">
        <v>410</v>
      </c>
      <c r="C583" s="31" t="s">
        <v>418</v>
      </c>
      <c r="D583" s="31" t="s">
        <v>434</v>
      </c>
      <c r="E583" s="31" t="s">
        <v>195</v>
      </c>
      <c r="F583" s="35" t="s">
        <v>437</v>
      </c>
      <c r="G583" s="33" t="s">
        <v>885</v>
      </c>
      <c r="H583" s="33" t="s">
        <v>603</v>
      </c>
      <c r="I583" s="36" t="s">
        <v>555</v>
      </c>
      <c r="J583" s="36" t="s">
        <v>875</v>
      </c>
      <c r="K583" s="36" t="s">
        <v>1044</v>
      </c>
      <c r="L583" s="37">
        <v>1072.5</v>
      </c>
      <c r="M583" s="271">
        <v>1000</v>
      </c>
      <c r="N583" s="34"/>
      <c r="O583" s="34" t="s">
        <v>1049</v>
      </c>
      <c r="P583" s="272" t="s">
        <v>1048</v>
      </c>
    </row>
    <row r="584" spans="1:16" x14ac:dyDescent="0.25">
      <c r="A584" s="270" t="s">
        <v>411</v>
      </c>
      <c r="B584" s="31" t="s">
        <v>410</v>
      </c>
      <c r="C584" s="31" t="s">
        <v>418</v>
      </c>
      <c r="D584" s="31" t="s">
        <v>434</v>
      </c>
      <c r="E584" s="31" t="s">
        <v>195</v>
      </c>
      <c r="F584" s="35" t="s">
        <v>437</v>
      </c>
      <c r="G584" s="33" t="s">
        <v>929</v>
      </c>
      <c r="H584" s="33" t="s">
        <v>602</v>
      </c>
      <c r="I584" s="36" t="s">
        <v>555</v>
      </c>
      <c r="J584" s="36" t="s">
        <v>875</v>
      </c>
      <c r="K584" s="36" t="s">
        <v>573</v>
      </c>
      <c r="L584" s="37">
        <v>0</v>
      </c>
      <c r="M584" s="271">
        <v>0</v>
      </c>
      <c r="N584" s="34" t="s">
        <v>929</v>
      </c>
      <c r="O584" s="34" t="s">
        <v>573</v>
      </c>
      <c r="P584" s="272" t="s">
        <v>954</v>
      </c>
    </row>
    <row r="585" spans="1:16" x14ac:dyDescent="0.25">
      <c r="A585" s="270" t="s">
        <v>411</v>
      </c>
      <c r="B585" s="31" t="s">
        <v>410</v>
      </c>
      <c r="C585" s="31" t="s">
        <v>418</v>
      </c>
      <c r="D585" s="31" t="s">
        <v>434</v>
      </c>
      <c r="E585" s="31" t="s">
        <v>195</v>
      </c>
      <c r="F585" s="35" t="s">
        <v>437</v>
      </c>
      <c r="G585" s="33" t="s">
        <v>929</v>
      </c>
      <c r="H585" s="33" t="s">
        <v>602</v>
      </c>
      <c r="I585" s="36" t="s">
        <v>555</v>
      </c>
      <c r="J585" s="36" t="s">
        <v>875</v>
      </c>
      <c r="K585" s="36" t="s">
        <v>950</v>
      </c>
      <c r="L585" s="37">
        <v>2434.37</v>
      </c>
      <c r="M585" s="271">
        <v>2425</v>
      </c>
      <c r="N585" s="34" t="s">
        <v>929</v>
      </c>
      <c r="O585" s="34" t="s">
        <v>950</v>
      </c>
      <c r="P585" s="272" t="s">
        <v>955</v>
      </c>
    </row>
    <row r="586" spans="1:16" x14ac:dyDescent="0.25">
      <c r="A586" s="270" t="s">
        <v>411</v>
      </c>
      <c r="B586" s="31" t="s">
        <v>410</v>
      </c>
      <c r="C586" s="31" t="s">
        <v>418</v>
      </c>
      <c r="D586" s="31" t="s">
        <v>434</v>
      </c>
      <c r="E586" s="31" t="s">
        <v>195</v>
      </c>
      <c r="F586" s="35" t="s">
        <v>437</v>
      </c>
      <c r="G586" s="33" t="s">
        <v>513</v>
      </c>
      <c r="H586" s="33" t="s">
        <v>603</v>
      </c>
      <c r="I586" s="36" t="s">
        <v>555</v>
      </c>
      <c r="J586" s="36" t="s">
        <v>875</v>
      </c>
      <c r="K586" s="36" t="s">
        <v>904</v>
      </c>
      <c r="L586" s="37">
        <v>2000</v>
      </c>
      <c r="M586" s="271">
        <v>4000</v>
      </c>
      <c r="N586" s="34"/>
      <c r="O586" s="34" t="s">
        <v>1052</v>
      </c>
      <c r="P586" s="272" t="s">
        <v>1051</v>
      </c>
    </row>
    <row r="587" spans="1:16" x14ac:dyDescent="0.25">
      <c r="A587" s="270" t="s">
        <v>411</v>
      </c>
      <c r="B587" s="31" t="s">
        <v>410</v>
      </c>
      <c r="C587" s="31" t="s">
        <v>418</v>
      </c>
      <c r="D587" s="31" t="s">
        <v>434</v>
      </c>
      <c r="E587" s="31" t="s">
        <v>195</v>
      </c>
      <c r="F587" s="35" t="s">
        <v>437</v>
      </c>
      <c r="G587" s="33" t="s">
        <v>527</v>
      </c>
      <c r="H587" s="33" t="s">
        <v>603</v>
      </c>
      <c r="I587" s="36" t="s">
        <v>555</v>
      </c>
      <c r="J587" s="36" t="s">
        <v>875</v>
      </c>
      <c r="K587" s="36" t="s">
        <v>518</v>
      </c>
      <c r="L587" s="37">
        <f>216000+34000</f>
        <v>250000</v>
      </c>
      <c r="M587" s="271">
        <v>250000</v>
      </c>
      <c r="N587" s="34" t="s">
        <v>973</v>
      </c>
      <c r="O587" s="34" t="s">
        <v>975</v>
      </c>
      <c r="P587" s="272" t="s">
        <v>976</v>
      </c>
    </row>
    <row r="588" spans="1:16" x14ac:dyDescent="0.25">
      <c r="A588" s="270" t="s">
        <v>411</v>
      </c>
      <c r="B588" s="31" t="s">
        <v>410</v>
      </c>
      <c r="C588" s="31" t="s">
        <v>418</v>
      </c>
      <c r="D588" s="31" t="s">
        <v>438</v>
      </c>
      <c r="E588" s="31" t="s">
        <v>879</v>
      </c>
      <c r="F588" s="278" t="s">
        <v>439</v>
      </c>
      <c r="G588" s="33" t="s">
        <v>929</v>
      </c>
      <c r="H588" s="33" t="s">
        <v>602</v>
      </c>
      <c r="I588" s="36" t="s">
        <v>553</v>
      </c>
      <c r="J588" s="36" t="s">
        <v>582</v>
      </c>
      <c r="K588" s="36" t="s">
        <v>902</v>
      </c>
      <c r="L588" s="37">
        <v>2470</v>
      </c>
      <c r="M588" s="271">
        <v>2470</v>
      </c>
      <c r="N588" s="34" t="s">
        <v>929</v>
      </c>
      <c r="O588" s="34" t="s">
        <v>1005</v>
      </c>
      <c r="P588" s="272" t="s">
        <v>1011</v>
      </c>
    </row>
    <row r="589" spans="1:16" x14ac:dyDescent="0.25">
      <c r="A589" s="270" t="s">
        <v>411</v>
      </c>
      <c r="B589" s="31" t="s">
        <v>410</v>
      </c>
      <c r="C589" s="31" t="s">
        <v>418</v>
      </c>
      <c r="D589" s="31" t="s">
        <v>438</v>
      </c>
      <c r="E589" s="31" t="s">
        <v>879</v>
      </c>
      <c r="F589" s="278" t="s">
        <v>439</v>
      </c>
      <c r="G589" s="33" t="s">
        <v>929</v>
      </c>
      <c r="H589" s="33" t="s">
        <v>602</v>
      </c>
      <c r="I589" s="36" t="s">
        <v>555</v>
      </c>
      <c r="J589" s="36" t="s">
        <v>579</v>
      </c>
      <c r="K589" s="36" t="s">
        <v>935</v>
      </c>
      <c r="L589" s="37">
        <f>2*1140</f>
        <v>2280</v>
      </c>
      <c r="M589" s="271">
        <f>2*1140</f>
        <v>2280</v>
      </c>
      <c r="N589" s="34" t="s">
        <v>929</v>
      </c>
      <c r="O589" s="34" t="s">
        <v>936</v>
      </c>
      <c r="P589" s="272" t="s">
        <v>945</v>
      </c>
    </row>
    <row r="590" spans="1:16" x14ac:dyDescent="0.25">
      <c r="A590" s="270" t="s">
        <v>411</v>
      </c>
      <c r="B590" s="31" t="s">
        <v>410</v>
      </c>
      <c r="C590" s="31" t="s">
        <v>418</v>
      </c>
      <c r="D590" s="31" t="s">
        <v>438</v>
      </c>
      <c r="E590" s="31" t="s">
        <v>879</v>
      </c>
      <c r="F590" s="278" t="s">
        <v>439</v>
      </c>
      <c r="G590" s="33" t="s">
        <v>929</v>
      </c>
      <c r="H590" s="33" t="s">
        <v>602</v>
      </c>
      <c r="I590" s="36" t="s">
        <v>555</v>
      </c>
      <c r="J590" s="36" t="s">
        <v>579</v>
      </c>
      <c r="K590" s="36" t="s">
        <v>935</v>
      </c>
      <c r="L590" s="37">
        <v>5320</v>
      </c>
      <c r="M590" s="271">
        <v>5320</v>
      </c>
      <c r="N590" s="34" t="s">
        <v>929</v>
      </c>
      <c r="O590" s="34" t="s">
        <v>947</v>
      </c>
      <c r="P590" s="272" t="s">
        <v>946</v>
      </c>
    </row>
    <row r="591" spans="1:16" x14ac:dyDescent="0.25">
      <c r="A591" s="270" t="s">
        <v>411</v>
      </c>
      <c r="B591" s="31" t="s">
        <v>410</v>
      </c>
      <c r="C591" s="31" t="s">
        <v>418</v>
      </c>
      <c r="D591" s="31" t="s">
        <v>438</v>
      </c>
      <c r="E591" s="31" t="s">
        <v>879</v>
      </c>
      <c r="F591" s="278" t="s">
        <v>439</v>
      </c>
      <c r="G591" s="33" t="s">
        <v>929</v>
      </c>
      <c r="H591" s="33" t="s">
        <v>602</v>
      </c>
      <c r="I591" s="36" t="s">
        <v>555</v>
      </c>
      <c r="J591" s="36" t="s">
        <v>578</v>
      </c>
      <c r="K591" s="36" t="s">
        <v>571</v>
      </c>
      <c r="L591" s="37">
        <v>1235</v>
      </c>
      <c r="M591" s="271">
        <v>1240</v>
      </c>
      <c r="N591" s="34" t="s">
        <v>929</v>
      </c>
      <c r="O591" s="34" t="s">
        <v>930</v>
      </c>
      <c r="P591" s="272" t="s">
        <v>928</v>
      </c>
    </row>
    <row r="592" spans="1:16" x14ac:dyDescent="0.25">
      <c r="A592" s="270" t="s">
        <v>411</v>
      </c>
      <c r="B592" s="31" t="s">
        <v>410</v>
      </c>
      <c r="C592" s="31" t="s">
        <v>418</v>
      </c>
      <c r="D592" s="31" t="s">
        <v>438</v>
      </c>
      <c r="E592" s="31" t="s">
        <v>879</v>
      </c>
      <c r="F592" s="278" t="s">
        <v>439</v>
      </c>
      <c r="G592" s="33" t="s">
        <v>929</v>
      </c>
      <c r="H592" s="33" t="s">
        <v>602</v>
      </c>
      <c r="I592" s="36" t="s">
        <v>555</v>
      </c>
      <c r="J592" s="36" t="s">
        <v>578</v>
      </c>
      <c r="K592" s="36" t="s">
        <v>571</v>
      </c>
      <c r="L592" s="37">
        <v>1140</v>
      </c>
      <c r="M592" s="271">
        <v>1140</v>
      </c>
      <c r="N592" s="34" t="s">
        <v>929</v>
      </c>
      <c r="O592" s="34" t="s">
        <v>931</v>
      </c>
      <c r="P592" s="272" t="s">
        <v>927</v>
      </c>
    </row>
    <row r="593" spans="1:16" x14ac:dyDescent="0.25">
      <c r="A593" s="270" t="s">
        <v>411</v>
      </c>
      <c r="B593" s="31" t="s">
        <v>410</v>
      </c>
      <c r="C593" s="31" t="s">
        <v>418</v>
      </c>
      <c r="D593" s="31" t="s">
        <v>438</v>
      </c>
      <c r="E593" s="31" t="s">
        <v>879</v>
      </c>
      <c r="F593" s="278" t="s">
        <v>439</v>
      </c>
      <c r="G593" s="33" t="s">
        <v>929</v>
      </c>
      <c r="H593" s="33" t="s">
        <v>602</v>
      </c>
      <c r="I593" s="36" t="s">
        <v>555</v>
      </c>
      <c r="J593" s="36" t="s">
        <v>578</v>
      </c>
      <c r="K593" s="36" t="s">
        <v>571</v>
      </c>
      <c r="L593" s="37">
        <v>7695</v>
      </c>
      <c r="M593" s="271">
        <v>7695</v>
      </c>
      <c r="N593" s="34" t="s">
        <v>929</v>
      </c>
      <c r="O593" s="34" t="s">
        <v>933</v>
      </c>
      <c r="P593" s="272" t="s">
        <v>934</v>
      </c>
    </row>
    <row r="594" spans="1:16" x14ac:dyDescent="0.25">
      <c r="A594" s="270" t="s">
        <v>411</v>
      </c>
      <c r="B594" s="31" t="s">
        <v>410</v>
      </c>
      <c r="C594" s="31" t="s">
        <v>418</v>
      </c>
      <c r="D594" s="31" t="s">
        <v>438</v>
      </c>
      <c r="E594" s="31" t="s">
        <v>198</v>
      </c>
      <c r="F594" s="278" t="s">
        <v>439</v>
      </c>
      <c r="G594" s="33" t="s">
        <v>597</v>
      </c>
      <c r="H594" s="33" t="s">
        <v>603</v>
      </c>
      <c r="I594" s="36" t="s">
        <v>552</v>
      </c>
      <c r="J594" s="36" t="s">
        <v>591</v>
      </c>
      <c r="K594" s="36" t="s">
        <v>1015</v>
      </c>
      <c r="L594" s="37">
        <v>1710</v>
      </c>
      <c r="M594" s="271">
        <v>2000</v>
      </c>
      <c r="N594" s="34"/>
      <c r="O594" s="34"/>
      <c r="P594" s="272" t="s">
        <v>1033</v>
      </c>
    </row>
    <row r="595" spans="1:16" x14ac:dyDescent="0.25">
      <c r="A595" s="270" t="s">
        <v>411</v>
      </c>
      <c r="B595" s="31" t="s">
        <v>410</v>
      </c>
      <c r="C595" s="31" t="s">
        <v>418</v>
      </c>
      <c r="D595" s="31" t="s">
        <v>438</v>
      </c>
      <c r="E595" s="31" t="s">
        <v>198</v>
      </c>
      <c r="F595" s="278" t="s">
        <v>439</v>
      </c>
      <c r="G595" s="33" t="s">
        <v>929</v>
      </c>
      <c r="H595" s="33" t="s">
        <v>602</v>
      </c>
      <c r="I595" s="36" t="s">
        <v>552</v>
      </c>
      <c r="J595" s="36" t="s">
        <v>591</v>
      </c>
      <c r="K595" s="36" t="s">
        <v>1015</v>
      </c>
      <c r="L595" s="37">
        <f>2*1140</f>
        <v>2280</v>
      </c>
      <c r="M595" s="271">
        <v>3000</v>
      </c>
      <c r="N595" s="34" t="s">
        <v>929</v>
      </c>
      <c r="O595" s="34" t="s">
        <v>1004</v>
      </c>
      <c r="P595" s="272" t="s">
        <v>1000</v>
      </c>
    </row>
    <row r="596" spans="1:16" x14ac:dyDescent="0.25">
      <c r="A596" s="270" t="s">
        <v>411</v>
      </c>
      <c r="B596" s="31" t="s">
        <v>410</v>
      </c>
      <c r="C596" s="31" t="s">
        <v>418</v>
      </c>
      <c r="D596" s="31" t="s">
        <v>438</v>
      </c>
      <c r="E596" s="31" t="s">
        <v>198</v>
      </c>
      <c r="F596" s="278" t="s">
        <v>439</v>
      </c>
      <c r="G596" s="33" t="s">
        <v>929</v>
      </c>
      <c r="H596" s="33" t="s">
        <v>602</v>
      </c>
      <c r="I596" s="36" t="s">
        <v>552</v>
      </c>
      <c r="J596" s="36" t="s">
        <v>1221</v>
      </c>
      <c r="K596" s="36" t="s">
        <v>1220</v>
      </c>
      <c r="L596" s="37">
        <f>1140*4</f>
        <v>4560</v>
      </c>
      <c r="M596" s="271">
        <v>5000</v>
      </c>
      <c r="N596" s="34" t="s">
        <v>929</v>
      </c>
      <c r="O596" s="34" t="s">
        <v>1003</v>
      </c>
      <c r="P596" s="272" t="s">
        <v>999</v>
      </c>
    </row>
    <row r="597" spans="1:16" x14ac:dyDescent="0.25">
      <c r="A597" s="270" t="s">
        <v>411</v>
      </c>
      <c r="B597" s="31" t="s">
        <v>410</v>
      </c>
      <c r="C597" s="31" t="s">
        <v>418</v>
      </c>
      <c r="D597" s="31" t="s">
        <v>438</v>
      </c>
      <c r="E597" s="31" t="s">
        <v>198</v>
      </c>
      <c r="F597" s="278" t="s">
        <v>439</v>
      </c>
      <c r="G597" s="33" t="s">
        <v>929</v>
      </c>
      <c r="H597" s="33" t="s">
        <v>602</v>
      </c>
      <c r="I597" s="36" t="s">
        <v>552</v>
      </c>
      <c r="J597" s="36" t="s">
        <v>591</v>
      </c>
      <c r="K597" s="36" t="s">
        <v>948</v>
      </c>
      <c r="L597" s="37">
        <v>1330</v>
      </c>
      <c r="M597" s="271">
        <v>1330</v>
      </c>
      <c r="N597" s="34" t="s">
        <v>929</v>
      </c>
      <c r="O597" s="34" t="s">
        <v>948</v>
      </c>
      <c r="P597" s="272" t="s">
        <v>951</v>
      </c>
    </row>
    <row r="598" spans="1:16" x14ac:dyDescent="0.25">
      <c r="A598" s="270" t="s">
        <v>411</v>
      </c>
      <c r="B598" s="31" t="s">
        <v>410</v>
      </c>
      <c r="C598" s="31" t="s">
        <v>418</v>
      </c>
      <c r="D598" s="31" t="s">
        <v>438</v>
      </c>
      <c r="E598" s="31" t="s">
        <v>198</v>
      </c>
      <c r="F598" s="278" t="s">
        <v>439</v>
      </c>
      <c r="G598" s="33" t="s">
        <v>929</v>
      </c>
      <c r="H598" s="33" t="s">
        <v>602</v>
      </c>
      <c r="I598" s="36" t="s">
        <v>552</v>
      </c>
      <c r="J598" s="36" t="s">
        <v>591</v>
      </c>
      <c r="K598" s="36" t="s">
        <v>572</v>
      </c>
      <c r="L598" s="37">
        <v>2945</v>
      </c>
      <c r="M598" s="271">
        <v>2945</v>
      </c>
      <c r="N598" s="34" t="s">
        <v>929</v>
      </c>
      <c r="O598" s="34" t="s">
        <v>572</v>
      </c>
      <c r="P598" s="272" t="s">
        <v>952</v>
      </c>
    </row>
    <row r="599" spans="1:16" x14ac:dyDescent="0.25">
      <c r="A599" s="270" t="s">
        <v>411</v>
      </c>
      <c r="B599" s="31" t="s">
        <v>410</v>
      </c>
      <c r="C599" s="31" t="s">
        <v>418</v>
      </c>
      <c r="D599" s="31" t="s">
        <v>438</v>
      </c>
      <c r="E599" s="31" t="s">
        <v>198</v>
      </c>
      <c r="F599" s="278" t="s">
        <v>439</v>
      </c>
      <c r="G599" s="33" t="s">
        <v>506</v>
      </c>
      <c r="H599" s="33" t="s">
        <v>603</v>
      </c>
      <c r="I599" s="36" t="s">
        <v>552</v>
      </c>
      <c r="J599" s="36" t="s">
        <v>580</v>
      </c>
      <c r="K599" s="36" t="s">
        <v>1056</v>
      </c>
      <c r="L599" s="37">
        <v>2470</v>
      </c>
      <c r="M599" s="271">
        <v>2470</v>
      </c>
      <c r="N599" s="34"/>
      <c r="O599" s="34" t="s">
        <v>1057</v>
      </c>
      <c r="P599" s="272" t="s">
        <v>1128</v>
      </c>
    </row>
    <row r="600" spans="1:16" x14ac:dyDescent="0.25">
      <c r="A600" s="270" t="s">
        <v>411</v>
      </c>
      <c r="B600" s="31" t="s">
        <v>410</v>
      </c>
      <c r="C600" s="31" t="s">
        <v>418</v>
      </c>
      <c r="D600" s="31" t="s">
        <v>438</v>
      </c>
      <c r="E600" s="31" t="s">
        <v>198</v>
      </c>
      <c r="F600" s="278" t="s">
        <v>439</v>
      </c>
      <c r="G600" s="33" t="s">
        <v>505</v>
      </c>
      <c r="H600" s="33" t="s">
        <v>603</v>
      </c>
      <c r="I600" s="36" t="s">
        <v>552</v>
      </c>
      <c r="J600" s="36" t="s">
        <v>580</v>
      </c>
      <c r="K600" s="36" t="s">
        <v>1056</v>
      </c>
      <c r="L600" s="37">
        <v>0</v>
      </c>
      <c r="M600" s="271">
        <v>0</v>
      </c>
      <c r="N600" s="34"/>
      <c r="O600" s="34" t="s">
        <v>1058</v>
      </c>
      <c r="P600" s="272" t="s">
        <v>1127</v>
      </c>
    </row>
    <row r="601" spans="1:16" x14ac:dyDescent="0.25">
      <c r="A601" s="270" t="s">
        <v>411</v>
      </c>
      <c r="B601" s="31" t="s">
        <v>410</v>
      </c>
      <c r="C601" s="31" t="s">
        <v>418</v>
      </c>
      <c r="D601" s="31" t="s">
        <v>438</v>
      </c>
      <c r="E601" s="31" t="s">
        <v>198</v>
      </c>
      <c r="F601" s="278" t="s">
        <v>439</v>
      </c>
      <c r="G601" s="33" t="s">
        <v>507</v>
      </c>
      <c r="H601" s="33" t="s">
        <v>603</v>
      </c>
      <c r="I601" s="36" t="s">
        <v>552</v>
      </c>
      <c r="J601" s="36" t="s">
        <v>580</v>
      </c>
      <c r="K601" s="36" t="s">
        <v>1056</v>
      </c>
      <c r="L601" s="37">
        <v>2470</v>
      </c>
      <c r="M601" s="271">
        <v>2470</v>
      </c>
      <c r="N601" s="34"/>
      <c r="O601" s="34" t="s">
        <v>1055</v>
      </c>
      <c r="P601" s="272" t="s">
        <v>1054</v>
      </c>
    </row>
    <row r="602" spans="1:16" x14ac:dyDescent="0.25">
      <c r="A602" s="270" t="s">
        <v>411</v>
      </c>
      <c r="B602" s="31" t="s">
        <v>410</v>
      </c>
      <c r="C602" s="31" t="s">
        <v>418</v>
      </c>
      <c r="D602" s="31" t="s">
        <v>438</v>
      </c>
      <c r="E602" s="31" t="s">
        <v>198</v>
      </c>
      <c r="F602" s="278" t="s">
        <v>439</v>
      </c>
      <c r="G602" s="33" t="s">
        <v>1136</v>
      </c>
      <c r="H602" s="33" t="s">
        <v>603</v>
      </c>
      <c r="I602" s="36" t="s">
        <v>552</v>
      </c>
      <c r="J602" s="36" t="s">
        <v>580</v>
      </c>
      <c r="K602" s="36" t="s">
        <v>503</v>
      </c>
      <c r="L602" s="37">
        <v>95</v>
      </c>
      <c r="M602" s="271">
        <v>95</v>
      </c>
      <c r="N602" s="34"/>
      <c r="O602" s="34" t="s">
        <v>503</v>
      </c>
      <c r="P602" s="272" t="s">
        <v>1132</v>
      </c>
    </row>
    <row r="603" spans="1:16" x14ac:dyDescent="0.25">
      <c r="A603" s="270" t="s">
        <v>411</v>
      </c>
      <c r="B603" s="31" t="s">
        <v>410</v>
      </c>
      <c r="C603" s="31" t="s">
        <v>418</v>
      </c>
      <c r="D603" s="31" t="s">
        <v>438</v>
      </c>
      <c r="E603" s="31" t="s">
        <v>198</v>
      </c>
      <c r="F603" s="278" t="s">
        <v>439</v>
      </c>
      <c r="G603" s="33" t="s">
        <v>1130</v>
      </c>
      <c r="H603" s="33" t="s">
        <v>603</v>
      </c>
      <c r="I603" s="36" t="s">
        <v>552</v>
      </c>
      <c r="J603" s="36" t="s">
        <v>580</v>
      </c>
      <c r="K603" s="36" t="s">
        <v>504</v>
      </c>
      <c r="L603" s="37">
        <v>95</v>
      </c>
      <c r="M603" s="271">
        <v>95</v>
      </c>
      <c r="N603" s="34"/>
      <c r="O603" s="34" t="s">
        <v>504</v>
      </c>
      <c r="P603" s="272" t="s">
        <v>1129</v>
      </c>
    </row>
    <row r="604" spans="1:16" x14ac:dyDescent="0.25">
      <c r="A604" s="270" t="s">
        <v>411</v>
      </c>
      <c r="B604" s="31" t="s">
        <v>410</v>
      </c>
      <c r="C604" s="31" t="s">
        <v>418</v>
      </c>
      <c r="D604" s="31" t="s">
        <v>438</v>
      </c>
      <c r="E604" s="31" t="s">
        <v>198</v>
      </c>
      <c r="F604" s="278" t="s">
        <v>439</v>
      </c>
      <c r="G604" s="33" t="s">
        <v>1124</v>
      </c>
      <c r="H604" s="33" t="s">
        <v>603</v>
      </c>
      <c r="I604" s="36" t="s">
        <v>552</v>
      </c>
      <c r="J604" s="36" t="s">
        <v>580</v>
      </c>
      <c r="K604" s="36" t="s">
        <v>505</v>
      </c>
      <c r="L604" s="37">
        <v>95</v>
      </c>
      <c r="M604" s="271">
        <v>95</v>
      </c>
      <c r="N604" s="34"/>
      <c r="O604" s="34" t="s">
        <v>505</v>
      </c>
      <c r="P604" s="272" t="s">
        <v>1123</v>
      </c>
    </row>
    <row r="605" spans="1:16" x14ac:dyDescent="0.25">
      <c r="A605" s="270" t="s">
        <v>411</v>
      </c>
      <c r="B605" s="31" t="s">
        <v>410</v>
      </c>
      <c r="C605" s="31" t="s">
        <v>418</v>
      </c>
      <c r="D605" s="31" t="s">
        <v>438</v>
      </c>
      <c r="E605" s="31" t="s">
        <v>198</v>
      </c>
      <c r="F605" s="278" t="s">
        <v>439</v>
      </c>
      <c r="G605" s="33" t="s">
        <v>1137</v>
      </c>
      <c r="H605" s="33" t="s">
        <v>603</v>
      </c>
      <c r="I605" s="36" t="s">
        <v>552</v>
      </c>
      <c r="J605" s="36" t="s">
        <v>580</v>
      </c>
      <c r="K605" s="36" t="s">
        <v>506</v>
      </c>
      <c r="L605" s="37">
        <v>95</v>
      </c>
      <c r="M605" s="271">
        <v>95</v>
      </c>
      <c r="N605" s="34"/>
      <c r="O605" s="34" t="s">
        <v>506</v>
      </c>
      <c r="P605" s="272" t="s">
        <v>1133</v>
      </c>
    </row>
    <row r="606" spans="1:16" x14ac:dyDescent="0.25">
      <c r="A606" s="270" t="s">
        <v>411</v>
      </c>
      <c r="B606" s="31" t="s">
        <v>410</v>
      </c>
      <c r="C606" s="31" t="s">
        <v>418</v>
      </c>
      <c r="D606" s="31" t="s">
        <v>438</v>
      </c>
      <c r="E606" s="31" t="s">
        <v>198</v>
      </c>
      <c r="F606" s="278" t="s">
        <v>439</v>
      </c>
      <c r="G606" s="33" t="s">
        <v>1140</v>
      </c>
      <c r="H606" s="33" t="s">
        <v>603</v>
      </c>
      <c r="I606" s="36" t="s">
        <v>552</v>
      </c>
      <c r="J606" s="36" t="s">
        <v>580</v>
      </c>
      <c r="K606" s="36" t="s">
        <v>507</v>
      </c>
      <c r="L606" s="37">
        <v>95</v>
      </c>
      <c r="M606" s="271">
        <v>95</v>
      </c>
      <c r="N606" s="34"/>
      <c r="O606" s="34" t="s">
        <v>507</v>
      </c>
      <c r="P606" s="272" t="s">
        <v>1139</v>
      </c>
    </row>
    <row r="607" spans="1:16" x14ac:dyDescent="0.25">
      <c r="A607" s="270" t="s">
        <v>411</v>
      </c>
      <c r="B607" s="31" t="s">
        <v>410</v>
      </c>
      <c r="C607" s="31" t="s">
        <v>418</v>
      </c>
      <c r="D607" s="31" t="s">
        <v>438</v>
      </c>
      <c r="E607" s="31" t="s">
        <v>198</v>
      </c>
      <c r="F607" s="278" t="s">
        <v>439</v>
      </c>
      <c r="G607" s="33" t="s">
        <v>512</v>
      </c>
      <c r="H607" s="33" t="s">
        <v>603</v>
      </c>
      <c r="I607" s="36" t="s">
        <v>552</v>
      </c>
      <c r="J607" s="36" t="s">
        <v>580</v>
      </c>
      <c r="K607" s="36" t="s">
        <v>606</v>
      </c>
      <c r="L607" s="37">
        <v>1425</v>
      </c>
      <c r="M607" s="271">
        <v>1425</v>
      </c>
      <c r="N607" s="34"/>
      <c r="O607" s="34"/>
      <c r="P607" s="272" t="s">
        <v>1022</v>
      </c>
    </row>
    <row r="608" spans="1:16" x14ac:dyDescent="0.25">
      <c r="A608" s="270" t="s">
        <v>411</v>
      </c>
      <c r="B608" s="31" t="s">
        <v>410</v>
      </c>
      <c r="C608" s="31" t="s">
        <v>418</v>
      </c>
      <c r="D608" s="31" t="s">
        <v>438</v>
      </c>
      <c r="E608" s="31" t="s">
        <v>198</v>
      </c>
      <c r="F608" s="278" t="s">
        <v>439</v>
      </c>
      <c r="G608" s="33" t="s">
        <v>1151</v>
      </c>
      <c r="H608" s="33" t="s">
        <v>603</v>
      </c>
      <c r="I608" s="36" t="s">
        <v>553</v>
      </c>
      <c r="J608" s="36" t="s">
        <v>581</v>
      </c>
      <c r="K608" s="36" t="s">
        <v>516</v>
      </c>
      <c r="L608" s="37">
        <v>1140</v>
      </c>
      <c r="M608" s="271">
        <v>1140</v>
      </c>
      <c r="N608" s="34"/>
      <c r="O608" s="34" t="s">
        <v>516</v>
      </c>
      <c r="P608" s="272" t="s">
        <v>1149</v>
      </c>
    </row>
    <row r="609" spans="1:16" x14ac:dyDescent="0.25">
      <c r="A609" s="270" t="s">
        <v>411</v>
      </c>
      <c r="B609" s="31" t="s">
        <v>410</v>
      </c>
      <c r="C609" s="31" t="s">
        <v>418</v>
      </c>
      <c r="D609" s="31" t="s">
        <v>438</v>
      </c>
      <c r="E609" s="31" t="s">
        <v>198</v>
      </c>
      <c r="F609" s="278" t="s">
        <v>439</v>
      </c>
      <c r="G609" s="33" t="s">
        <v>528</v>
      </c>
      <c r="H609" s="33" t="s">
        <v>603</v>
      </c>
      <c r="I609" s="36" t="s">
        <v>553</v>
      </c>
      <c r="J609" s="36" t="s">
        <v>581</v>
      </c>
      <c r="K609" s="36" t="s">
        <v>605</v>
      </c>
      <c r="L609" s="37">
        <v>2850</v>
      </c>
      <c r="M609" s="271">
        <v>2850</v>
      </c>
      <c r="N609" s="34"/>
      <c r="O609" s="34"/>
      <c r="P609" s="272" t="s">
        <v>1034</v>
      </c>
    </row>
    <row r="610" spans="1:16" x14ac:dyDescent="0.25">
      <c r="A610" s="270" t="s">
        <v>411</v>
      </c>
      <c r="B610" s="31" t="s">
        <v>410</v>
      </c>
      <c r="C610" s="31" t="s">
        <v>418</v>
      </c>
      <c r="D610" s="31" t="s">
        <v>438</v>
      </c>
      <c r="E610" s="31" t="s">
        <v>198</v>
      </c>
      <c r="F610" s="278" t="s">
        <v>439</v>
      </c>
      <c r="G610" s="33" t="s">
        <v>515</v>
      </c>
      <c r="H610" s="33" t="s">
        <v>603</v>
      </c>
      <c r="I610" s="36" t="s">
        <v>553</v>
      </c>
      <c r="J610" s="36" t="s">
        <v>581</v>
      </c>
      <c r="K610" s="36" t="s">
        <v>605</v>
      </c>
      <c r="L610" s="37">
        <v>2375</v>
      </c>
      <c r="M610" s="271">
        <v>2375</v>
      </c>
      <c r="N610" s="34"/>
      <c r="O610" s="34"/>
      <c r="P610" s="272" t="s">
        <v>1036</v>
      </c>
    </row>
    <row r="611" spans="1:16" x14ac:dyDescent="0.25">
      <c r="A611" s="270" t="s">
        <v>411</v>
      </c>
      <c r="B611" s="31" t="s">
        <v>410</v>
      </c>
      <c r="C611" s="31" t="s">
        <v>418</v>
      </c>
      <c r="D611" s="31" t="s">
        <v>438</v>
      </c>
      <c r="E611" s="31" t="s">
        <v>198</v>
      </c>
      <c r="F611" s="278" t="s">
        <v>439</v>
      </c>
      <c r="G611" s="33" t="s">
        <v>867</v>
      </c>
      <c r="H611" s="33" t="s">
        <v>603</v>
      </c>
      <c r="I611" s="36" t="s">
        <v>553</v>
      </c>
      <c r="J611" s="36" t="s">
        <v>581</v>
      </c>
      <c r="K611" s="36" t="s">
        <v>1038</v>
      </c>
      <c r="L611" s="37">
        <v>8265</v>
      </c>
      <c r="M611" s="271">
        <v>8265</v>
      </c>
      <c r="N611" s="34"/>
      <c r="O611" s="34"/>
      <c r="P611" s="272" t="s">
        <v>1037</v>
      </c>
    </row>
    <row r="612" spans="1:16" x14ac:dyDescent="0.25">
      <c r="A612" s="270" t="s">
        <v>411</v>
      </c>
      <c r="B612" s="31" t="s">
        <v>410</v>
      </c>
      <c r="C612" s="31" t="s">
        <v>418</v>
      </c>
      <c r="D612" s="31" t="s">
        <v>438</v>
      </c>
      <c r="E612" s="31" t="s">
        <v>198</v>
      </c>
      <c r="F612" s="278" t="s">
        <v>439</v>
      </c>
      <c r="G612" s="33" t="s">
        <v>545</v>
      </c>
      <c r="H612" s="33" t="s">
        <v>603</v>
      </c>
      <c r="I612" s="36" t="s">
        <v>553</v>
      </c>
      <c r="J612" s="36" t="s">
        <v>582</v>
      </c>
      <c r="K612" s="36" t="s">
        <v>902</v>
      </c>
      <c r="L612" s="37">
        <v>1425</v>
      </c>
      <c r="M612" s="271">
        <v>1425</v>
      </c>
      <c r="N612" s="34"/>
      <c r="O612" s="34"/>
      <c r="P612" s="272" t="s">
        <v>1020</v>
      </c>
    </row>
    <row r="613" spans="1:16" x14ac:dyDescent="0.25">
      <c r="A613" s="270" t="s">
        <v>411</v>
      </c>
      <c r="B613" s="31" t="s">
        <v>410</v>
      </c>
      <c r="C613" s="31" t="s">
        <v>418</v>
      </c>
      <c r="D613" s="31" t="s">
        <v>438</v>
      </c>
      <c r="E613" s="31" t="s">
        <v>198</v>
      </c>
      <c r="F613" s="278" t="s">
        <v>439</v>
      </c>
      <c r="G613" s="33" t="s">
        <v>926</v>
      </c>
      <c r="H613" s="33" t="s">
        <v>603</v>
      </c>
      <c r="I613" s="36" t="s">
        <v>553</v>
      </c>
      <c r="J613" s="36" t="s">
        <v>582</v>
      </c>
      <c r="K613" s="36" t="s">
        <v>902</v>
      </c>
      <c r="L613" s="37">
        <v>1045</v>
      </c>
      <c r="M613" s="279">
        <v>1045</v>
      </c>
      <c r="N613" s="34"/>
      <c r="O613" s="34" t="s">
        <v>926</v>
      </c>
      <c r="P613" s="272" t="s">
        <v>1053</v>
      </c>
    </row>
    <row r="614" spans="1:16" x14ac:dyDescent="0.25">
      <c r="A614" s="270" t="s">
        <v>411</v>
      </c>
      <c r="B614" s="31" t="s">
        <v>410</v>
      </c>
      <c r="C614" s="31" t="s">
        <v>418</v>
      </c>
      <c r="D614" s="31" t="s">
        <v>438</v>
      </c>
      <c r="E614" s="31" t="s">
        <v>198</v>
      </c>
      <c r="F614" s="278" t="s">
        <v>439</v>
      </c>
      <c r="G614" s="33" t="s">
        <v>929</v>
      </c>
      <c r="H614" s="33" t="s">
        <v>602</v>
      </c>
      <c r="I614" s="36" t="s">
        <v>553</v>
      </c>
      <c r="J614" s="36" t="s">
        <v>582</v>
      </c>
      <c r="K614" s="36" t="s">
        <v>1010</v>
      </c>
      <c r="L614" s="37">
        <v>1710</v>
      </c>
      <c r="M614" s="271">
        <v>1710</v>
      </c>
      <c r="N614" s="34" t="s">
        <v>929</v>
      </c>
      <c r="O614" s="34" t="s">
        <v>1010</v>
      </c>
      <c r="P614" s="272" t="s">
        <v>1014</v>
      </c>
    </row>
    <row r="615" spans="1:16" x14ac:dyDescent="0.25">
      <c r="A615" s="270" t="s">
        <v>411</v>
      </c>
      <c r="B615" s="31" t="s">
        <v>410</v>
      </c>
      <c r="C615" s="31" t="s">
        <v>418</v>
      </c>
      <c r="D615" s="31" t="s">
        <v>438</v>
      </c>
      <c r="E615" s="31" t="s">
        <v>198</v>
      </c>
      <c r="F615" s="278" t="s">
        <v>439</v>
      </c>
      <c r="G615" s="33" t="s">
        <v>929</v>
      </c>
      <c r="H615" s="33" t="s">
        <v>602</v>
      </c>
      <c r="I615" s="36" t="s">
        <v>553</v>
      </c>
      <c r="J615" s="36" t="s">
        <v>582</v>
      </c>
      <c r="K615" s="36" t="s">
        <v>574</v>
      </c>
      <c r="L615" s="37">
        <f>1140*3</f>
        <v>3420</v>
      </c>
      <c r="M615" s="271">
        <v>3420</v>
      </c>
      <c r="N615" s="34" t="s">
        <v>929</v>
      </c>
      <c r="O615" s="34" t="s">
        <v>574</v>
      </c>
      <c r="P615" s="272" t="s">
        <v>997</v>
      </c>
    </row>
    <row r="616" spans="1:16" x14ac:dyDescent="0.25">
      <c r="A616" s="270" t="s">
        <v>411</v>
      </c>
      <c r="B616" s="31" t="s">
        <v>410</v>
      </c>
      <c r="C616" s="31" t="s">
        <v>418</v>
      </c>
      <c r="D616" s="31" t="s">
        <v>438</v>
      </c>
      <c r="E616" s="31" t="s">
        <v>198</v>
      </c>
      <c r="F616" s="278" t="s">
        <v>439</v>
      </c>
      <c r="G616" s="33" t="s">
        <v>520</v>
      </c>
      <c r="H616" s="33" t="s">
        <v>603</v>
      </c>
      <c r="I616" s="36" t="s">
        <v>553</v>
      </c>
      <c r="J616" s="36" t="s">
        <v>881</v>
      </c>
      <c r="K616" s="36" t="s">
        <v>903</v>
      </c>
      <c r="L616" s="37">
        <v>1425</v>
      </c>
      <c r="M616" s="271">
        <v>1425</v>
      </c>
      <c r="N616" s="34"/>
      <c r="O616" s="34"/>
      <c r="P616" s="272" t="s">
        <v>1043</v>
      </c>
    </row>
    <row r="617" spans="1:16" x14ac:dyDescent="0.25">
      <c r="A617" s="270" t="s">
        <v>411</v>
      </c>
      <c r="B617" s="31" t="s">
        <v>410</v>
      </c>
      <c r="C617" s="31" t="s">
        <v>418</v>
      </c>
      <c r="D617" s="31" t="s">
        <v>438</v>
      </c>
      <c r="E617" s="31" t="s">
        <v>198</v>
      </c>
      <c r="F617" s="278" t="s">
        <v>439</v>
      </c>
      <c r="G617" s="33" t="s">
        <v>489</v>
      </c>
      <c r="H617" s="33" t="s">
        <v>603</v>
      </c>
      <c r="I617" s="36" t="s">
        <v>555</v>
      </c>
      <c r="J617" s="36" t="s">
        <v>579</v>
      </c>
      <c r="K617" s="36" t="s">
        <v>587</v>
      </c>
      <c r="L617" s="37">
        <v>4940</v>
      </c>
      <c r="M617" s="271">
        <v>5000</v>
      </c>
      <c r="N617" s="34"/>
      <c r="O617" s="34"/>
      <c r="P617" s="272" t="s">
        <v>958</v>
      </c>
    </row>
    <row r="618" spans="1:16" x14ac:dyDescent="0.25">
      <c r="A618" s="270" t="s">
        <v>411</v>
      </c>
      <c r="B618" s="31" t="s">
        <v>410</v>
      </c>
      <c r="C618" s="31" t="s">
        <v>418</v>
      </c>
      <c r="D618" s="31" t="s">
        <v>438</v>
      </c>
      <c r="E618" s="31" t="s">
        <v>198</v>
      </c>
      <c r="F618" s="278" t="s">
        <v>439</v>
      </c>
      <c r="G618" s="33" t="s">
        <v>499</v>
      </c>
      <c r="H618" s="33" t="s">
        <v>603</v>
      </c>
      <c r="I618" s="36" t="s">
        <v>555</v>
      </c>
      <c r="J618" s="36" t="s">
        <v>579</v>
      </c>
      <c r="K618" s="36" t="s">
        <v>587</v>
      </c>
      <c r="L618" s="37">
        <v>475</v>
      </c>
      <c r="M618" s="271">
        <v>500</v>
      </c>
      <c r="N618" s="34"/>
      <c r="O618" s="34"/>
      <c r="P618" s="272" t="s">
        <v>963</v>
      </c>
    </row>
    <row r="619" spans="1:16" x14ac:dyDescent="0.25">
      <c r="A619" s="270" t="s">
        <v>411</v>
      </c>
      <c r="B619" s="31" t="s">
        <v>410</v>
      </c>
      <c r="C619" s="31" t="s">
        <v>418</v>
      </c>
      <c r="D619" s="31" t="s">
        <v>438</v>
      </c>
      <c r="E619" s="31" t="s">
        <v>198</v>
      </c>
      <c r="F619" s="278" t="s">
        <v>439</v>
      </c>
      <c r="G619" s="33" t="s">
        <v>498</v>
      </c>
      <c r="H619" s="33" t="s">
        <v>603</v>
      </c>
      <c r="I619" s="36" t="s">
        <v>555</v>
      </c>
      <c r="J619" s="36" t="s">
        <v>579</v>
      </c>
      <c r="K619" s="36" t="s">
        <v>587</v>
      </c>
      <c r="L619" s="37">
        <v>570</v>
      </c>
      <c r="M619" s="271">
        <v>570</v>
      </c>
      <c r="N619" s="34"/>
      <c r="O619" s="34"/>
      <c r="P619" s="272" t="s">
        <v>1001</v>
      </c>
    </row>
    <row r="620" spans="1:16" x14ac:dyDescent="0.25">
      <c r="A620" s="270" t="s">
        <v>411</v>
      </c>
      <c r="B620" s="31" t="s">
        <v>410</v>
      </c>
      <c r="C620" s="31" t="s">
        <v>418</v>
      </c>
      <c r="D620" s="31" t="s">
        <v>438</v>
      </c>
      <c r="E620" s="31" t="s">
        <v>198</v>
      </c>
      <c r="F620" s="278" t="s">
        <v>439</v>
      </c>
      <c r="G620" s="33" t="s">
        <v>494</v>
      </c>
      <c r="H620" s="33" t="s">
        <v>603</v>
      </c>
      <c r="I620" s="36" t="s">
        <v>555</v>
      </c>
      <c r="J620" s="36" t="s">
        <v>579</v>
      </c>
      <c r="K620" s="36" t="s">
        <v>587</v>
      </c>
      <c r="L620" s="37">
        <v>570</v>
      </c>
      <c r="M620" s="271">
        <v>800</v>
      </c>
      <c r="N620" s="34"/>
      <c r="O620" s="34"/>
      <c r="P620" s="272" t="s">
        <v>495</v>
      </c>
    </row>
    <row r="621" spans="1:16" x14ac:dyDescent="0.25">
      <c r="A621" s="270" t="s">
        <v>411</v>
      </c>
      <c r="B621" s="31" t="s">
        <v>410</v>
      </c>
      <c r="C621" s="31" t="s">
        <v>418</v>
      </c>
      <c r="D621" s="31" t="s">
        <v>438</v>
      </c>
      <c r="E621" s="31" t="s">
        <v>198</v>
      </c>
      <c r="F621" s="278" t="s">
        <v>439</v>
      </c>
      <c r="G621" s="33" t="s">
        <v>961</v>
      </c>
      <c r="H621" s="33" t="s">
        <v>603</v>
      </c>
      <c r="I621" s="36" t="s">
        <v>555</v>
      </c>
      <c r="J621" s="36" t="s">
        <v>579</v>
      </c>
      <c r="K621" s="36" t="s">
        <v>587</v>
      </c>
      <c r="L621" s="37">
        <v>475</v>
      </c>
      <c r="M621" s="271">
        <v>1000</v>
      </c>
      <c r="N621" s="34"/>
      <c r="O621" s="34"/>
      <c r="P621" s="272" t="s">
        <v>962</v>
      </c>
    </row>
    <row r="622" spans="1:16" x14ac:dyDescent="0.25">
      <c r="A622" s="270" t="s">
        <v>411</v>
      </c>
      <c r="B622" s="31" t="s">
        <v>410</v>
      </c>
      <c r="C622" s="31" t="s">
        <v>418</v>
      </c>
      <c r="D622" s="31" t="s">
        <v>438</v>
      </c>
      <c r="E622" s="31" t="s">
        <v>198</v>
      </c>
      <c r="F622" s="278" t="s">
        <v>439</v>
      </c>
      <c r="G622" s="33" t="s">
        <v>501</v>
      </c>
      <c r="H622" s="33" t="s">
        <v>603</v>
      </c>
      <c r="I622" s="36" t="s">
        <v>555</v>
      </c>
      <c r="J622" s="36" t="s">
        <v>577</v>
      </c>
      <c r="K622" s="36" t="s">
        <v>1059</v>
      </c>
      <c r="L622" s="37">
        <v>7410</v>
      </c>
      <c r="M622" s="271">
        <v>7410</v>
      </c>
      <c r="N622" s="34"/>
      <c r="O622" s="34" t="s">
        <v>1061</v>
      </c>
      <c r="P622" s="272" t="s">
        <v>1060</v>
      </c>
    </row>
    <row r="623" spans="1:16" x14ac:dyDescent="0.25">
      <c r="A623" s="270" t="s">
        <v>411</v>
      </c>
      <c r="B623" s="31" t="s">
        <v>410</v>
      </c>
      <c r="C623" s="31" t="s">
        <v>418</v>
      </c>
      <c r="D623" s="31" t="s">
        <v>438</v>
      </c>
      <c r="E623" s="31" t="s">
        <v>198</v>
      </c>
      <c r="F623" s="278" t="s">
        <v>439</v>
      </c>
      <c r="G623" s="33" t="s">
        <v>1082</v>
      </c>
      <c r="H623" s="33" t="s">
        <v>603</v>
      </c>
      <c r="I623" s="36" t="s">
        <v>555</v>
      </c>
      <c r="J623" s="36" t="s">
        <v>577</v>
      </c>
      <c r="K623" s="36" t="s">
        <v>1059</v>
      </c>
      <c r="L623" s="37">
        <v>0</v>
      </c>
      <c r="M623" s="271">
        <v>0</v>
      </c>
      <c r="N623" s="34"/>
      <c r="O623" s="34" t="s">
        <v>1083</v>
      </c>
      <c r="P623" s="272" t="s">
        <v>1084</v>
      </c>
    </row>
    <row r="624" spans="1:16" x14ac:dyDescent="0.25">
      <c r="A624" s="270" t="s">
        <v>411</v>
      </c>
      <c r="B624" s="31" t="s">
        <v>410</v>
      </c>
      <c r="C624" s="31" t="s">
        <v>418</v>
      </c>
      <c r="D624" s="31" t="s">
        <v>438</v>
      </c>
      <c r="E624" s="31" t="s">
        <v>198</v>
      </c>
      <c r="F624" s="278" t="s">
        <v>439</v>
      </c>
      <c r="G624" s="33" t="s">
        <v>1067</v>
      </c>
      <c r="H624" s="33" t="s">
        <v>603</v>
      </c>
      <c r="I624" s="36" t="s">
        <v>555</v>
      </c>
      <c r="J624" s="36" t="s">
        <v>577</v>
      </c>
      <c r="K624" s="36" t="s">
        <v>589</v>
      </c>
      <c r="L624" s="37">
        <v>4750</v>
      </c>
      <c r="M624" s="271">
        <v>4750</v>
      </c>
      <c r="N624" s="34"/>
      <c r="O624" s="34" t="s">
        <v>1076</v>
      </c>
      <c r="P624" s="272" t="s">
        <v>1073</v>
      </c>
    </row>
    <row r="625" spans="1:16" x14ac:dyDescent="0.25">
      <c r="A625" s="270" t="s">
        <v>411</v>
      </c>
      <c r="B625" s="31" t="s">
        <v>410</v>
      </c>
      <c r="C625" s="31" t="s">
        <v>418</v>
      </c>
      <c r="D625" s="31" t="s">
        <v>438</v>
      </c>
      <c r="E625" s="31" t="s">
        <v>198</v>
      </c>
      <c r="F625" s="278" t="s">
        <v>439</v>
      </c>
      <c r="G625" s="33" t="s">
        <v>1077</v>
      </c>
      <c r="H625" s="33" t="s">
        <v>603</v>
      </c>
      <c r="I625" s="36" t="s">
        <v>555</v>
      </c>
      <c r="J625" s="36" t="s">
        <v>577</v>
      </c>
      <c r="K625" s="36" t="s">
        <v>509</v>
      </c>
      <c r="L625" s="37">
        <v>190</v>
      </c>
      <c r="M625" s="271">
        <v>190</v>
      </c>
      <c r="N625" s="34"/>
      <c r="O625" s="34" t="s">
        <v>1078</v>
      </c>
      <c r="P625" s="272" t="s">
        <v>1079</v>
      </c>
    </row>
    <row r="626" spans="1:16" x14ac:dyDescent="0.25">
      <c r="A626" s="270" t="s">
        <v>411</v>
      </c>
      <c r="B626" s="31" t="s">
        <v>410</v>
      </c>
      <c r="C626" s="31" t="s">
        <v>418</v>
      </c>
      <c r="D626" s="31" t="s">
        <v>438</v>
      </c>
      <c r="E626" s="31" t="s">
        <v>198</v>
      </c>
      <c r="F626" s="278" t="s">
        <v>439</v>
      </c>
      <c r="G626" s="33" t="s">
        <v>1146</v>
      </c>
      <c r="H626" s="33" t="s">
        <v>603</v>
      </c>
      <c r="I626" s="36" t="s">
        <v>555</v>
      </c>
      <c r="J626" s="36" t="s">
        <v>577</v>
      </c>
      <c r="K626" s="36" t="s">
        <v>501</v>
      </c>
      <c r="L626" s="37">
        <v>950</v>
      </c>
      <c r="M626" s="271">
        <v>950</v>
      </c>
      <c r="N626" s="34"/>
      <c r="O626" s="34" t="s">
        <v>501</v>
      </c>
      <c r="P626" s="272" t="s">
        <v>1142</v>
      </c>
    </row>
    <row r="627" spans="1:16" x14ac:dyDescent="0.25">
      <c r="A627" s="270" t="s">
        <v>411</v>
      </c>
      <c r="B627" s="31" t="s">
        <v>410</v>
      </c>
      <c r="C627" s="31" t="s">
        <v>418</v>
      </c>
      <c r="D627" s="31" t="s">
        <v>438</v>
      </c>
      <c r="E627" s="31" t="s">
        <v>198</v>
      </c>
      <c r="F627" s="278" t="s">
        <v>439</v>
      </c>
      <c r="G627" s="33" t="s">
        <v>1068</v>
      </c>
      <c r="H627" s="33" t="s">
        <v>603</v>
      </c>
      <c r="I627" s="36" t="s">
        <v>555</v>
      </c>
      <c r="J627" s="36" t="s">
        <v>577</v>
      </c>
      <c r="K627" s="36" t="s">
        <v>510</v>
      </c>
      <c r="L627" s="37">
        <v>0</v>
      </c>
      <c r="M627" s="271">
        <v>0</v>
      </c>
      <c r="N627" s="34"/>
      <c r="O627" s="34" t="s">
        <v>1070</v>
      </c>
      <c r="P627" s="272" t="s">
        <v>1069</v>
      </c>
    </row>
    <row r="628" spans="1:16" x14ac:dyDescent="0.25">
      <c r="A628" s="270" t="s">
        <v>411</v>
      </c>
      <c r="B628" s="31" t="s">
        <v>410</v>
      </c>
      <c r="C628" s="31" t="s">
        <v>418</v>
      </c>
      <c r="D628" s="31" t="s">
        <v>438</v>
      </c>
      <c r="E628" s="31" t="s">
        <v>198</v>
      </c>
      <c r="F628" s="278" t="s">
        <v>439</v>
      </c>
      <c r="G628" s="33" t="s">
        <v>876</v>
      </c>
      <c r="H628" s="33" t="s">
        <v>603</v>
      </c>
      <c r="I628" s="36" t="s">
        <v>555</v>
      </c>
      <c r="J628" s="36" t="s">
        <v>577</v>
      </c>
      <c r="K628" s="36" t="s">
        <v>1029</v>
      </c>
      <c r="L628" s="37">
        <v>570</v>
      </c>
      <c r="M628" s="271">
        <v>570</v>
      </c>
      <c r="N628" s="34"/>
      <c r="O628" s="34"/>
      <c r="P628" s="272" t="s">
        <v>1030</v>
      </c>
    </row>
    <row r="629" spans="1:16" x14ac:dyDescent="0.25">
      <c r="A629" s="270" t="s">
        <v>411</v>
      </c>
      <c r="B629" s="31" t="s">
        <v>410</v>
      </c>
      <c r="C629" s="31" t="s">
        <v>418</v>
      </c>
      <c r="D629" s="31" t="s">
        <v>438</v>
      </c>
      <c r="E629" s="31" t="s">
        <v>198</v>
      </c>
      <c r="F629" s="278" t="s">
        <v>439</v>
      </c>
      <c r="G629" s="33" t="s">
        <v>575</v>
      </c>
      <c r="H629" s="33" t="s">
        <v>603</v>
      </c>
      <c r="I629" s="36" t="s">
        <v>555</v>
      </c>
      <c r="J629" s="36" t="s">
        <v>577</v>
      </c>
      <c r="K629" s="36" t="s">
        <v>1029</v>
      </c>
      <c r="L629" s="37">
        <v>1995</v>
      </c>
      <c r="M629" s="271">
        <v>1995</v>
      </c>
      <c r="N629" s="34"/>
      <c r="O629" s="34"/>
      <c r="P629" s="272" t="s">
        <v>1031</v>
      </c>
    </row>
    <row r="630" spans="1:16" x14ac:dyDescent="0.25">
      <c r="A630" s="270" t="s">
        <v>411</v>
      </c>
      <c r="B630" s="31" t="s">
        <v>410</v>
      </c>
      <c r="C630" s="31" t="s">
        <v>418</v>
      </c>
      <c r="D630" s="31" t="s">
        <v>438</v>
      </c>
      <c r="E630" s="31" t="s">
        <v>198</v>
      </c>
      <c r="F630" s="278" t="s">
        <v>439</v>
      </c>
      <c r="G630" s="33" t="s">
        <v>1066</v>
      </c>
      <c r="H630" s="33" t="s">
        <v>603</v>
      </c>
      <c r="I630" s="36" t="s">
        <v>555</v>
      </c>
      <c r="J630" s="36" t="s">
        <v>577</v>
      </c>
      <c r="K630" s="36" t="s">
        <v>996</v>
      </c>
      <c r="L630" s="37">
        <v>0</v>
      </c>
      <c r="M630" s="271">
        <v>0</v>
      </c>
      <c r="N630" s="34"/>
      <c r="O630" s="34" t="s">
        <v>1063</v>
      </c>
      <c r="P630" s="272" t="s">
        <v>1064</v>
      </c>
    </row>
    <row r="631" spans="1:16" x14ac:dyDescent="0.25">
      <c r="A631" s="270" t="s">
        <v>411</v>
      </c>
      <c r="B631" s="31" t="s">
        <v>410</v>
      </c>
      <c r="C631" s="31" t="s">
        <v>418</v>
      </c>
      <c r="D631" s="31" t="s">
        <v>438</v>
      </c>
      <c r="E631" s="31" t="s">
        <v>198</v>
      </c>
      <c r="F631" s="278" t="s">
        <v>439</v>
      </c>
      <c r="G631" s="33" t="s">
        <v>554</v>
      </c>
      <c r="H631" s="33" t="s">
        <v>603</v>
      </c>
      <c r="I631" s="36" t="s">
        <v>555</v>
      </c>
      <c r="J631" s="36" t="s">
        <v>577</v>
      </c>
      <c r="K631" s="36" t="s">
        <v>554</v>
      </c>
      <c r="L631" s="37">
        <v>3800</v>
      </c>
      <c r="M631" s="271">
        <v>4000</v>
      </c>
      <c r="N631" s="34"/>
      <c r="O631" s="34" t="s">
        <v>554</v>
      </c>
      <c r="P631" s="272" t="s">
        <v>1193</v>
      </c>
    </row>
    <row r="632" spans="1:16" x14ac:dyDescent="0.25">
      <c r="A632" s="270" t="s">
        <v>411</v>
      </c>
      <c r="B632" s="31" t="s">
        <v>410</v>
      </c>
      <c r="C632" s="31" t="s">
        <v>418</v>
      </c>
      <c r="D632" s="31" t="s">
        <v>438</v>
      </c>
      <c r="E632" s="31" t="s">
        <v>198</v>
      </c>
      <c r="F632" s="278" t="s">
        <v>439</v>
      </c>
      <c r="G632" s="33" t="s">
        <v>1117</v>
      </c>
      <c r="H632" s="33" t="s">
        <v>603</v>
      </c>
      <c r="I632" s="36" t="s">
        <v>555</v>
      </c>
      <c r="J632" s="36" t="s">
        <v>578</v>
      </c>
      <c r="K632" s="36" t="s">
        <v>1118</v>
      </c>
      <c r="L632" s="37">
        <v>60705</v>
      </c>
      <c r="M632" s="271">
        <v>60705</v>
      </c>
      <c r="N632" s="34"/>
      <c r="O632" s="34" t="s">
        <v>1119</v>
      </c>
      <c r="P632" s="272" t="s">
        <v>1120</v>
      </c>
    </row>
    <row r="633" spans="1:16" x14ac:dyDescent="0.25">
      <c r="A633" s="270" t="s">
        <v>411</v>
      </c>
      <c r="B633" s="31" t="s">
        <v>410</v>
      </c>
      <c r="C633" s="31" t="s">
        <v>418</v>
      </c>
      <c r="D633" s="31" t="s">
        <v>438</v>
      </c>
      <c r="E633" s="31" t="s">
        <v>198</v>
      </c>
      <c r="F633" s="278" t="s">
        <v>439</v>
      </c>
      <c r="G633" s="33" t="s">
        <v>596</v>
      </c>
      <c r="H633" s="33" t="s">
        <v>603</v>
      </c>
      <c r="I633" s="36" t="s">
        <v>555</v>
      </c>
      <c r="J633" s="36" t="s">
        <v>578</v>
      </c>
      <c r="K633" s="36" t="s">
        <v>604</v>
      </c>
      <c r="L633" s="37">
        <v>1520</v>
      </c>
      <c r="M633" s="271">
        <v>3000</v>
      </c>
      <c r="N633" s="34"/>
      <c r="O633" s="34"/>
      <c r="P633" s="272" t="s">
        <v>967</v>
      </c>
    </row>
    <row r="634" spans="1:16" x14ac:dyDescent="0.25">
      <c r="A634" s="270" t="s">
        <v>411</v>
      </c>
      <c r="B634" s="31" t="s">
        <v>410</v>
      </c>
      <c r="C634" s="31" t="s">
        <v>418</v>
      </c>
      <c r="D634" s="31" t="s">
        <v>438</v>
      </c>
      <c r="E634" s="31" t="s">
        <v>198</v>
      </c>
      <c r="F634" s="278" t="s">
        <v>439</v>
      </c>
      <c r="G634" s="33" t="s">
        <v>527</v>
      </c>
      <c r="H634" s="33" t="s">
        <v>603</v>
      </c>
      <c r="I634" s="36" t="s">
        <v>555</v>
      </c>
      <c r="J634" s="36" t="s">
        <v>578</v>
      </c>
      <c r="K634" s="36" t="s">
        <v>604</v>
      </c>
      <c r="L634" s="37">
        <v>1425</v>
      </c>
      <c r="M634" s="271">
        <v>1500</v>
      </c>
      <c r="N634" s="34"/>
      <c r="O634" s="34"/>
      <c r="P634" s="272" t="s">
        <v>969</v>
      </c>
    </row>
    <row r="635" spans="1:16" x14ac:dyDescent="0.25">
      <c r="A635" s="270" t="s">
        <v>411</v>
      </c>
      <c r="B635" s="31" t="s">
        <v>410</v>
      </c>
      <c r="C635" s="31" t="s">
        <v>418</v>
      </c>
      <c r="D635" s="31" t="s">
        <v>438</v>
      </c>
      <c r="E635" s="31" t="s">
        <v>198</v>
      </c>
      <c r="F635" s="278" t="s">
        <v>439</v>
      </c>
      <c r="G635" s="33" t="s">
        <v>525</v>
      </c>
      <c r="H635" s="33" t="s">
        <v>603</v>
      </c>
      <c r="I635" s="36" t="s">
        <v>555</v>
      </c>
      <c r="J635" s="36" t="s">
        <v>578</v>
      </c>
      <c r="K635" s="36" t="s">
        <v>604</v>
      </c>
      <c r="L635" s="37">
        <v>570</v>
      </c>
      <c r="M635" s="271">
        <v>800</v>
      </c>
      <c r="N635" s="34"/>
      <c r="O635" s="34"/>
      <c r="P635" s="272" t="s">
        <v>526</v>
      </c>
    </row>
    <row r="636" spans="1:16" x14ac:dyDescent="0.25">
      <c r="A636" s="270" t="s">
        <v>411</v>
      </c>
      <c r="B636" s="31" t="s">
        <v>410</v>
      </c>
      <c r="C636" s="31" t="s">
        <v>418</v>
      </c>
      <c r="D636" s="31" t="s">
        <v>438</v>
      </c>
      <c r="E636" s="31" t="s">
        <v>198</v>
      </c>
      <c r="F636" s="278" t="s">
        <v>439</v>
      </c>
      <c r="G636" s="33" t="s">
        <v>527</v>
      </c>
      <c r="H636" s="33" t="s">
        <v>603</v>
      </c>
      <c r="I636" s="36" t="s">
        <v>555</v>
      </c>
      <c r="J636" s="36" t="s">
        <v>578</v>
      </c>
      <c r="K636" s="36" t="s">
        <v>604</v>
      </c>
      <c r="L636" s="37">
        <v>1425</v>
      </c>
      <c r="M636" s="271">
        <v>1425</v>
      </c>
      <c r="N636" s="34"/>
      <c r="O636" s="34"/>
      <c r="P636" s="272" t="s">
        <v>1021</v>
      </c>
    </row>
    <row r="637" spans="1:16" x14ac:dyDescent="0.25">
      <c r="A637" s="270" t="s">
        <v>411</v>
      </c>
      <c r="B637" s="31" t="s">
        <v>410</v>
      </c>
      <c r="C637" s="31" t="s">
        <v>418</v>
      </c>
      <c r="D637" s="31" t="s">
        <v>438</v>
      </c>
      <c r="E637" s="31" t="s">
        <v>198</v>
      </c>
      <c r="F637" s="278" t="s">
        <v>439</v>
      </c>
      <c r="G637" s="33" t="s">
        <v>929</v>
      </c>
      <c r="H637" s="33" t="s">
        <v>602</v>
      </c>
      <c r="I637" s="36" t="s">
        <v>555</v>
      </c>
      <c r="J637" s="36" t="s">
        <v>578</v>
      </c>
      <c r="K637" s="36" t="s">
        <v>949</v>
      </c>
      <c r="L637" s="37">
        <v>1140</v>
      </c>
      <c r="M637" s="271">
        <v>1140</v>
      </c>
      <c r="N637" s="34" t="s">
        <v>929</v>
      </c>
      <c r="O637" s="34" t="s">
        <v>949</v>
      </c>
      <c r="P637" s="272" t="s">
        <v>953</v>
      </c>
    </row>
    <row r="638" spans="1:16" x14ac:dyDescent="0.25">
      <c r="A638" s="270" t="s">
        <v>411</v>
      </c>
      <c r="B638" s="31" t="s">
        <v>410</v>
      </c>
      <c r="C638" s="31" t="s">
        <v>418</v>
      </c>
      <c r="D638" s="31" t="s">
        <v>438</v>
      </c>
      <c r="E638" s="31" t="s">
        <v>198</v>
      </c>
      <c r="F638" s="278" t="s">
        <v>439</v>
      </c>
      <c r="G638" s="33" t="s">
        <v>1112</v>
      </c>
      <c r="H638" s="33" t="s">
        <v>603</v>
      </c>
      <c r="I638" s="36" t="s">
        <v>555</v>
      </c>
      <c r="J638" s="36" t="s">
        <v>578</v>
      </c>
      <c r="K638" s="36" t="s">
        <v>1113</v>
      </c>
      <c r="L638" s="37">
        <v>0</v>
      </c>
      <c r="M638" s="271">
        <v>0</v>
      </c>
      <c r="N638" s="34"/>
      <c r="O638" s="34" t="s">
        <v>1114</v>
      </c>
      <c r="P638" s="272" t="s">
        <v>1116</v>
      </c>
    </row>
    <row r="639" spans="1:16" x14ac:dyDescent="0.25">
      <c r="A639" s="270" t="s">
        <v>411</v>
      </c>
      <c r="B639" s="31" t="s">
        <v>410</v>
      </c>
      <c r="C639" s="31" t="s">
        <v>418</v>
      </c>
      <c r="D639" s="31" t="s">
        <v>438</v>
      </c>
      <c r="E639" s="31" t="s">
        <v>198</v>
      </c>
      <c r="F639" s="278" t="s">
        <v>439</v>
      </c>
      <c r="G639" s="33" t="s">
        <v>1092</v>
      </c>
      <c r="H639" s="33" t="s">
        <v>603</v>
      </c>
      <c r="I639" s="36" t="s">
        <v>555</v>
      </c>
      <c r="J639" s="36" t="s">
        <v>875</v>
      </c>
      <c r="K639" s="36" t="s">
        <v>1093</v>
      </c>
      <c r="L639" s="37">
        <v>0</v>
      </c>
      <c r="M639" s="271">
        <v>0</v>
      </c>
      <c r="N639" s="34"/>
      <c r="O639" s="34" t="s">
        <v>1094</v>
      </c>
      <c r="P639" s="272" t="s">
        <v>1103</v>
      </c>
    </row>
    <row r="640" spans="1:16" x14ac:dyDescent="0.25">
      <c r="A640" s="270" t="s">
        <v>411</v>
      </c>
      <c r="B640" s="31" t="s">
        <v>410</v>
      </c>
      <c r="C640" s="31" t="s">
        <v>418</v>
      </c>
      <c r="D640" s="31" t="s">
        <v>438</v>
      </c>
      <c r="E640" s="31" t="s">
        <v>198</v>
      </c>
      <c r="F640" s="278" t="s">
        <v>439</v>
      </c>
      <c r="G640" s="33" t="s">
        <v>1107</v>
      </c>
      <c r="H640" s="33" t="s">
        <v>603</v>
      </c>
      <c r="I640" s="36" t="s">
        <v>555</v>
      </c>
      <c r="J640" s="36" t="s">
        <v>875</v>
      </c>
      <c r="K640" s="36" t="s">
        <v>1093</v>
      </c>
      <c r="L640" s="37">
        <v>2470</v>
      </c>
      <c r="M640" s="271">
        <v>2470</v>
      </c>
      <c r="N640" s="34"/>
      <c r="O640" s="34" t="s">
        <v>1108</v>
      </c>
      <c r="P640" s="272" t="s">
        <v>1109</v>
      </c>
    </row>
    <row r="641" spans="1:16" x14ac:dyDescent="0.25">
      <c r="A641" s="270" t="s">
        <v>411</v>
      </c>
      <c r="B641" s="31" t="s">
        <v>410</v>
      </c>
      <c r="C641" s="31" t="s">
        <v>418</v>
      </c>
      <c r="D641" s="31" t="s">
        <v>438</v>
      </c>
      <c r="E641" s="31" t="s">
        <v>198</v>
      </c>
      <c r="F641" s="278" t="s">
        <v>439</v>
      </c>
      <c r="G641" s="33" t="s">
        <v>1092</v>
      </c>
      <c r="H641" s="33" t="s">
        <v>603</v>
      </c>
      <c r="I641" s="36" t="s">
        <v>555</v>
      </c>
      <c r="J641" s="36" t="s">
        <v>875</v>
      </c>
      <c r="K641" s="36" t="s">
        <v>1093</v>
      </c>
      <c r="L641" s="37">
        <v>0</v>
      </c>
      <c r="M641" s="271">
        <v>0</v>
      </c>
      <c r="N641" s="34"/>
      <c r="O641" s="34" t="s">
        <v>1096</v>
      </c>
      <c r="P641" s="272" t="s">
        <v>1097</v>
      </c>
    </row>
    <row r="642" spans="1:16" x14ac:dyDescent="0.25">
      <c r="A642" s="270" t="s">
        <v>411</v>
      </c>
      <c r="B642" s="31" t="s">
        <v>410</v>
      </c>
      <c r="C642" s="31" t="s">
        <v>418</v>
      </c>
      <c r="D642" s="31" t="s">
        <v>438</v>
      </c>
      <c r="E642" s="31" t="s">
        <v>198</v>
      </c>
      <c r="F642" s="278" t="s">
        <v>439</v>
      </c>
      <c r="G642" s="33" t="s">
        <v>1092</v>
      </c>
      <c r="H642" s="33" t="s">
        <v>603</v>
      </c>
      <c r="I642" s="36" t="s">
        <v>555</v>
      </c>
      <c r="J642" s="36" t="s">
        <v>875</v>
      </c>
      <c r="K642" s="36" t="s">
        <v>1093</v>
      </c>
      <c r="L642" s="37">
        <v>950</v>
      </c>
      <c r="M642" s="271">
        <v>950</v>
      </c>
      <c r="N642" s="34"/>
      <c r="O642" s="34" t="s">
        <v>1099</v>
      </c>
      <c r="P642" s="272" t="s">
        <v>1106</v>
      </c>
    </row>
    <row r="643" spans="1:16" x14ac:dyDescent="0.25">
      <c r="A643" s="270" t="s">
        <v>411</v>
      </c>
      <c r="B643" s="31" t="s">
        <v>410</v>
      </c>
      <c r="C643" s="31" t="s">
        <v>418</v>
      </c>
      <c r="D643" s="31" t="s">
        <v>438</v>
      </c>
      <c r="E643" s="31" t="s">
        <v>198</v>
      </c>
      <c r="F643" s="278" t="s">
        <v>439</v>
      </c>
      <c r="G643" s="33" t="s">
        <v>1163</v>
      </c>
      <c r="H643" s="33" t="s">
        <v>603</v>
      </c>
      <c r="I643" s="36" t="s">
        <v>555</v>
      </c>
      <c r="J643" s="36" t="s">
        <v>875</v>
      </c>
      <c r="K643" s="36" t="s">
        <v>590</v>
      </c>
      <c r="L643" s="37">
        <v>0</v>
      </c>
      <c r="M643" s="271">
        <v>0</v>
      </c>
      <c r="N643" s="34"/>
      <c r="O643" s="34" t="s">
        <v>1161</v>
      </c>
      <c r="P643" s="272" t="s">
        <v>1160</v>
      </c>
    </row>
    <row r="644" spans="1:16" x14ac:dyDescent="0.25">
      <c r="A644" s="270" t="s">
        <v>411</v>
      </c>
      <c r="B644" s="31" t="s">
        <v>410</v>
      </c>
      <c r="C644" s="31" t="s">
        <v>418</v>
      </c>
      <c r="D644" s="31" t="s">
        <v>438</v>
      </c>
      <c r="E644" s="31" t="s">
        <v>198</v>
      </c>
      <c r="F644" s="278" t="s">
        <v>439</v>
      </c>
      <c r="G644" s="33" t="s">
        <v>1143</v>
      </c>
      <c r="H644" s="33" t="s">
        <v>603</v>
      </c>
      <c r="I644" s="36" t="s">
        <v>555</v>
      </c>
      <c r="J644" s="36" t="s">
        <v>875</v>
      </c>
      <c r="K644" s="36" t="s">
        <v>508</v>
      </c>
      <c r="L644" s="37">
        <v>190</v>
      </c>
      <c r="M644" s="271">
        <v>190</v>
      </c>
      <c r="N644" s="34"/>
      <c r="O644" s="34" t="s">
        <v>508</v>
      </c>
      <c r="P644" s="272" t="s">
        <v>1145</v>
      </c>
    </row>
    <row r="645" spans="1:16" x14ac:dyDescent="0.25">
      <c r="A645" s="270" t="s">
        <v>411</v>
      </c>
      <c r="B645" s="31" t="s">
        <v>410</v>
      </c>
      <c r="C645" s="31" t="s">
        <v>418</v>
      </c>
      <c r="D645" s="31" t="s">
        <v>438</v>
      </c>
      <c r="E645" s="31" t="s">
        <v>198</v>
      </c>
      <c r="F645" s="278" t="s">
        <v>439</v>
      </c>
      <c r="G645" s="33" t="s">
        <v>1166</v>
      </c>
      <c r="H645" s="33" t="s">
        <v>603</v>
      </c>
      <c r="I645" s="36" t="s">
        <v>555</v>
      </c>
      <c r="J645" s="36" t="s">
        <v>875</v>
      </c>
      <c r="K645" s="36" t="s">
        <v>519</v>
      </c>
      <c r="L645" s="37">
        <v>0</v>
      </c>
      <c r="M645" s="271">
        <v>0</v>
      </c>
      <c r="N645" s="34"/>
      <c r="O645" s="34" t="s">
        <v>1161</v>
      </c>
      <c r="P645" s="272" t="s">
        <v>1164</v>
      </c>
    </row>
    <row r="646" spans="1:16" x14ac:dyDescent="0.25">
      <c r="A646" s="270" t="s">
        <v>411</v>
      </c>
      <c r="B646" s="31" t="s">
        <v>410</v>
      </c>
      <c r="C646" s="31" t="s">
        <v>418</v>
      </c>
      <c r="D646" s="31" t="s">
        <v>438</v>
      </c>
      <c r="E646" s="31" t="s">
        <v>198</v>
      </c>
      <c r="F646" s="278" t="s">
        <v>439</v>
      </c>
      <c r="G646" s="33" t="s">
        <v>1147</v>
      </c>
      <c r="H646" s="33" t="s">
        <v>603</v>
      </c>
      <c r="I646" s="36" t="s">
        <v>555</v>
      </c>
      <c r="J646" s="36" t="s">
        <v>875</v>
      </c>
      <c r="K646" s="36" t="s">
        <v>517</v>
      </c>
      <c r="L646" s="37">
        <v>4750</v>
      </c>
      <c r="M646" s="271">
        <v>4750</v>
      </c>
      <c r="N646" s="34" t="s">
        <v>973</v>
      </c>
      <c r="O646" s="34" t="s">
        <v>1025</v>
      </c>
      <c r="P646" s="272" t="s">
        <v>1026</v>
      </c>
    </row>
    <row r="647" spans="1:16" x14ac:dyDescent="0.25">
      <c r="A647" s="270" t="s">
        <v>411</v>
      </c>
      <c r="B647" s="31" t="s">
        <v>410</v>
      </c>
      <c r="C647" s="31" t="s">
        <v>418</v>
      </c>
      <c r="D647" s="31" t="s">
        <v>438</v>
      </c>
      <c r="E647" s="31" t="s">
        <v>198</v>
      </c>
      <c r="F647" s="278" t="s">
        <v>439</v>
      </c>
      <c r="G647" s="33" t="s">
        <v>885</v>
      </c>
      <c r="H647" s="33" t="s">
        <v>603</v>
      </c>
      <c r="I647" s="36" t="s">
        <v>555</v>
      </c>
      <c r="J647" s="36" t="s">
        <v>875</v>
      </c>
      <c r="K647" s="36" t="s">
        <v>1195</v>
      </c>
      <c r="L647" s="37">
        <v>475</v>
      </c>
      <c r="M647" s="271">
        <v>475</v>
      </c>
      <c r="N647" s="34"/>
      <c r="O647" s="34" t="s">
        <v>1192</v>
      </c>
      <c r="P647" s="272" t="s">
        <v>1188</v>
      </c>
    </row>
    <row r="648" spans="1:16" x14ac:dyDescent="0.25">
      <c r="A648" s="270" t="s">
        <v>411</v>
      </c>
      <c r="B648" s="31" t="s">
        <v>410</v>
      </c>
      <c r="C648" s="31" t="s">
        <v>418</v>
      </c>
      <c r="D648" s="31" t="s">
        <v>438</v>
      </c>
      <c r="E648" s="31" t="s">
        <v>198</v>
      </c>
      <c r="F648" s="278" t="s">
        <v>439</v>
      </c>
      <c r="G648" s="33" t="s">
        <v>885</v>
      </c>
      <c r="H648" s="33" t="s">
        <v>603</v>
      </c>
      <c r="I648" s="36" t="s">
        <v>555</v>
      </c>
      <c r="J648" s="36" t="s">
        <v>875</v>
      </c>
      <c r="K648" s="36" t="s">
        <v>1194</v>
      </c>
      <c r="L648" s="37">
        <v>665</v>
      </c>
      <c r="M648" s="271">
        <v>665</v>
      </c>
      <c r="N648" s="34"/>
      <c r="O648" s="34" t="s">
        <v>1185</v>
      </c>
      <c r="P648" s="272" t="s">
        <v>1184</v>
      </c>
    </row>
    <row r="649" spans="1:16" x14ac:dyDescent="0.25">
      <c r="A649" s="270" t="s">
        <v>411</v>
      </c>
      <c r="B649" s="31" t="s">
        <v>410</v>
      </c>
      <c r="C649" s="31" t="s">
        <v>418</v>
      </c>
      <c r="D649" s="31" t="s">
        <v>438</v>
      </c>
      <c r="E649" s="31" t="s">
        <v>198</v>
      </c>
      <c r="F649" s="278" t="s">
        <v>439</v>
      </c>
      <c r="G649" s="33" t="s">
        <v>885</v>
      </c>
      <c r="H649" s="33" t="s">
        <v>603</v>
      </c>
      <c r="I649" s="36" t="s">
        <v>555</v>
      </c>
      <c r="J649" s="36" t="s">
        <v>875</v>
      </c>
      <c r="K649" s="36" t="s">
        <v>1196</v>
      </c>
      <c r="L649" s="37">
        <v>190</v>
      </c>
      <c r="M649" s="271">
        <v>190</v>
      </c>
      <c r="N649" s="34"/>
      <c r="O649" s="34" t="s">
        <v>1183</v>
      </c>
      <c r="P649" s="272" t="s">
        <v>1180</v>
      </c>
    </row>
    <row r="650" spans="1:16" x14ac:dyDescent="0.25">
      <c r="A650" s="270" t="s">
        <v>411</v>
      </c>
      <c r="B650" s="31" t="s">
        <v>410</v>
      </c>
      <c r="C650" s="31" t="s">
        <v>418</v>
      </c>
      <c r="D650" s="31" t="s">
        <v>438</v>
      </c>
      <c r="E650" s="31" t="s">
        <v>198</v>
      </c>
      <c r="F650" s="278" t="s">
        <v>439</v>
      </c>
      <c r="G650" s="33" t="s">
        <v>885</v>
      </c>
      <c r="H650" s="33" t="s">
        <v>603</v>
      </c>
      <c r="I650" s="36" t="s">
        <v>555</v>
      </c>
      <c r="J650" s="36" t="s">
        <v>875</v>
      </c>
      <c r="K650" s="36" t="s">
        <v>1196</v>
      </c>
      <c r="L650" s="37">
        <v>95</v>
      </c>
      <c r="M650" s="271">
        <v>95</v>
      </c>
      <c r="N650" s="34"/>
      <c r="O650" s="34" t="s">
        <v>1181</v>
      </c>
      <c r="P650" s="272" t="s">
        <v>1174</v>
      </c>
    </row>
    <row r="651" spans="1:16" x14ac:dyDescent="0.25">
      <c r="A651" s="270" t="s">
        <v>411</v>
      </c>
      <c r="B651" s="31" t="s">
        <v>410</v>
      </c>
      <c r="C651" s="31" t="s">
        <v>418</v>
      </c>
      <c r="D651" s="31" t="s">
        <v>438</v>
      </c>
      <c r="E651" s="31" t="s">
        <v>198</v>
      </c>
      <c r="F651" s="278" t="s">
        <v>439</v>
      </c>
      <c r="G651" s="33" t="s">
        <v>885</v>
      </c>
      <c r="H651" s="33" t="s">
        <v>603</v>
      </c>
      <c r="I651" s="36" t="s">
        <v>555</v>
      </c>
      <c r="J651" s="36" t="s">
        <v>875</v>
      </c>
      <c r="K651" s="36" t="s">
        <v>1196</v>
      </c>
      <c r="L651" s="37">
        <v>95</v>
      </c>
      <c r="M651" s="271">
        <v>95</v>
      </c>
      <c r="N651" s="34"/>
      <c r="O651" s="34" t="s">
        <v>1182</v>
      </c>
      <c r="P651" s="272" t="s">
        <v>1175</v>
      </c>
    </row>
    <row r="652" spans="1:16" x14ac:dyDescent="0.25">
      <c r="A652" s="270" t="s">
        <v>411</v>
      </c>
      <c r="B652" s="31" t="s">
        <v>410</v>
      </c>
      <c r="C652" s="31" t="s">
        <v>418</v>
      </c>
      <c r="D652" s="31" t="s">
        <v>438</v>
      </c>
      <c r="E652" s="31" t="s">
        <v>198</v>
      </c>
      <c r="F652" s="278" t="s">
        <v>439</v>
      </c>
      <c r="G652" s="33" t="s">
        <v>885</v>
      </c>
      <c r="H652" s="33" t="s">
        <v>603</v>
      </c>
      <c r="I652" s="36" t="s">
        <v>555</v>
      </c>
      <c r="J652" s="36" t="s">
        <v>875</v>
      </c>
      <c r="K652" s="36" t="s">
        <v>1045</v>
      </c>
      <c r="L652" s="37">
        <v>1710</v>
      </c>
      <c r="M652" s="271">
        <v>1710</v>
      </c>
      <c r="N652" s="34"/>
      <c r="O652" s="34" t="s">
        <v>1047</v>
      </c>
      <c r="P652" s="272" t="s">
        <v>1046</v>
      </c>
    </row>
    <row r="653" spans="1:16" x14ac:dyDescent="0.25">
      <c r="A653" s="270" t="s">
        <v>411</v>
      </c>
      <c r="B653" s="31" t="s">
        <v>410</v>
      </c>
      <c r="C653" s="31" t="s">
        <v>418</v>
      </c>
      <c r="D653" s="31" t="s">
        <v>438</v>
      </c>
      <c r="E653" s="31" t="s">
        <v>198</v>
      </c>
      <c r="F653" s="278" t="s">
        <v>439</v>
      </c>
      <c r="G653" s="33" t="s">
        <v>929</v>
      </c>
      <c r="H653" s="33" t="s">
        <v>602</v>
      </c>
      <c r="I653" s="36" t="s">
        <v>555</v>
      </c>
      <c r="J653" s="36" t="s">
        <v>875</v>
      </c>
      <c r="K653" s="36" t="s">
        <v>573</v>
      </c>
      <c r="L653" s="37">
        <v>3420</v>
      </c>
      <c r="M653" s="271">
        <v>3420</v>
      </c>
      <c r="N653" s="34" t="s">
        <v>929</v>
      </c>
      <c r="O653" s="34" t="s">
        <v>573</v>
      </c>
      <c r="P653" s="272" t="s">
        <v>954</v>
      </c>
    </row>
    <row r="654" spans="1:16" x14ac:dyDescent="0.25">
      <c r="A654" s="270" t="s">
        <v>411</v>
      </c>
      <c r="B654" s="31" t="s">
        <v>410</v>
      </c>
      <c r="C654" s="31" t="s">
        <v>418</v>
      </c>
      <c r="D654" s="31" t="s">
        <v>438</v>
      </c>
      <c r="E654" s="31" t="s">
        <v>198</v>
      </c>
      <c r="F654" s="278" t="s">
        <v>439</v>
      </c>
      <c r="G654" s="33" t="s">
        <v>929</v>
      </c>
      <c r="H654" s="33" t="s">
        <v>602</v>
      </c>
      <c r="I654" s="36" t="s">
        <v>555</v>
      </c>
      <c r="J654" s="36" t="s">
        <v>875</v>
      </c>
      <c r="K654" s="36" t="s">
        <v>950</v>
      </c>
      <c r="L654" s="37">
        <v>4750</v>
      </c>
      <c r="M654" s="271">
        <v>4750</v>
      </c>
      <c r="N654" s="34" t="s">
        <v>929</v>
      </c>
      <c r="O654" s="34" t="s">
        <v>950</v>
      </c>
      <c r="P654" s="272" t="s">
        <v>955</v>
      </c>
    </row>
    <row r="655" spans="1:16" x14ac:dyDescent="0.25">
      <c r="A655" s="270" t="s">
        <v>411</v>
      </c>
      <c r="B655" s="31" t="s">
        <v>410</v>
      </c>
      <c r="C655" s="31" t="s">
        <v>418</v>
      </c>
      <c r="D655" s="31" t="s">
        <v>438</v>
      </c>
      <c r="E655" s="31" t="s">
        <v>198</v>
      </c>
      <c r="F655" s="278" t="s">
        <v>439</v>
      </c>
      <c r="G655" s="33" t="s">
        <v>513</v>
      </c>
      <c r="H655" s="33" t="s">
        <v>603</v>
      </c>
      <c r="I655" s="36" t="s">
        <v>555</v>
      </c>
      <c r="J655" s="36" t="s">
        <v>875</v>
      </c>
      <c r="K655" s="36" t="s">
        <v>904</v>
      </c>
      <c r="L655" s="37">
        <v>950</v>
      </c>
      <c r="M655" s="271">
        <v>950</v>
      </c>
      <c r="N655" s="34"/>
      <c r="O655" s="34" t="s">
        <v>513</v>
      </c>
      <c r="P655" s="272" t="s">
        <v>1050</v>
      </c>
    </row>
    <row r="656" spans="1:16" x14ac:dyDescent="0.25">
      <c r="A656" s="270" t="s">
        <v>411</v>
      </c>
      <c r="B656" s="31" t="s">
        <v>410</v>
      </c>
      <c r="C656" s="31" t="s">
        <v>418</v>
      </c>
      <c r="D656" s="31" t="s">
        <v>438</v>
      </c>
      <c r="E656" s="31" t="s">
        <v>198</v>
      </c>
      <c r="F656" s="278" t="s">
        <v>439</v>
      </c>
      <c r="G656" s="33" t="s">
        <v>968</v>
      </c>
      <c r="H656" s="33" t="s">
        <v>603</v>
      </c>
      <c r="I656" s="36" t="s">
        <v>555</v>
      </c>
      <c r="J656" s="36" t="s">
        <v>875</v>
      </c>
      <c r="K656" s="36" t="s">
        <v>904</v>
      </c>
      <c r="L656" s="37">
        <v>3325</v>
      </c>
      <c r="M656" s="271">
        <v>3325</v>
      </c>
      <c r="N656" s="34"/>
      <c r="O656" s="34"/>
      <c r="P656" s="272" t="s">
        <v>1040</v>
      </c>
    </row>
    <row r="657" spans="1:16" x14ac:dyDescent="0.25">
      <c r="A657" s="270" t="s">
        <v>411</v>
      </c>
      <c r="B657" s="31" t="s">
        <v>410</v>
      </c>
      <c r="C657" s="31" t="s">
        <v>418</v>
      </c>
      <c r="D657" s="31" t="s">
        <v>438</v>
      </c>
      <c r="E657" s="31" t="s">
        <v>198</v>
      </c>
      <c r="F657" s="278" t="s">
        <v>439</v>
      </c>
      <c r="G657" s="33" t="s">
        <v>968</v>
      </c>
      <c r="H657" s="33" t="s">
        <v>603</v>
      </c>
      <c r="I657" s="36" t="s">
        <v>555</v>
      </c>
      <c r="J657" s="36" t="s">
        <v>875</v>
      </c>
      <c r="K657" s="36" t="s">
        <v>904</v>
      </c>
      <c r="L657" s="37">
        <v>2185</v>
      </c>
      <c r="M657" s="271">
        <v>4000</v>
      </c>
      <c r="N657" s="34"/>
      <c r="O657" s="34"/>
      <c r="P657" s="272" t="s">
        <v>1041</v>
      </c>
    </row>
    <row r="658" spans="1:16" x14ac:dyDescent="0.25">
      <c r="A658" s="270" t="s">
        <v>411</v>
      </c>
      <c r="B658" s="31" t="s">
        <v>410</v>
      </c>
      <c r="C658" s="31" t="s">
        <v>418</v>
      </c>
      <c r="D658" s="31" t="s">
        <v>438</v>
      </c>
      <c r="E658" s="31" t="s">
        <v>198</v>
      </c>
      <c r="F658" s="278" t="s">
        <v>439</v>
      </c>
      <c r="G658" s="33" t="s">
        <v>527</v>
      </c>
      <c r="H658" s="33" t="s">
        <v>603</v>
      </c>
      <c r="I658" s="36" t="s">
        <v>555</v>
      </c>
      <c r="J658" s="36" t="s">
        <v>875</v>
      </c>
      <c r="K658" s="36" t="s">
        <v>518</v>
      </c>
      <c r="L658" s="37">
        <v>8740</v>
      </c>
      <c r="M658" s="271">
        <v>10000</v>
      </c>
      <c r="N658" s="34" t="s">
        <v>973</v>
      </c>
      <c r="O658" s="34" t="s">
        <v>974</v>
      </c>
      <c r="P658" s="272" t="s">
        <v>976</v>
      </c>
    </row>
    <row r="659" spans="1:16" x14ac:dyDescent="0.25">
      <c r="A659" s="270" t="s">
        <v>411</v>
      </c>
      <c r="B659" s="31" t="s">
        <v>410</v>
      </c>
      <c r="C659" s="31" t="s">
        <v>418</v>
      </c>
      <c r="D659" s="31" t="s">
        <v>438</v>
      </c>
      <c r="E659" s="31" t="s">
        <v>199</v>
      </c>
      <c r="F659" s="35" t="s">
        <v>440</v>
      </c>
      <c r="G659" s="33" t="s">
        <v>929</v>
      </c>
      <c r="H659" s="33" t="s">
        <v>602</v>
      </c>
      <c r="I659" s="36" t="s">
        <v>552</v>
      </c>
      <c r="J659" s="36" t="s">
        <v>591</v>
      </c>
      <c r="K659" s="36" t="s">
        <v>948</v>
      </c>
      <c r="L659" s="37">
        <v>3990</v>
      </c>
      <c r="M659" s="271">
        <v>3990</v>
      </c>
      <c r="N659" s="34" t="s">
        <v>929</v>
      </c>
      <c r="O659" s="34" t="s">
        <v>948</v>
      </c>
      <c r="P659" s="272" t="s">
        <v>951</v>
      </c>
    </row>
    <row r="660" spans="1:16" x14ac:dyDescent="0.25">
      <c r="A660" s="270" t="s">
        <v>411</v>
      </c>
      <c r="B660" s="31" t="s">
        <v>410</v>
      </c>
      <c r="C660" s="31" t="s">
        <v>418</v>
      </c>
      <c r="D660" s="31" t="s">
        <v>438</v>
      </c>
      <c r="E660" s="31" t="s">
        <v>199</v>
      </c>
      <c r="F660" s="35" t="s">
        <v>440</v>
      </c>
      <c r="G660" s="33" t="s">
        <v>929</v>
      </c>
      <c r="H660" s="33" t="s">
        <v>602</v>
      </c>
      <c r="I660" s="36" t="s">
        <v>552</v>
      </c>
      <c r="J660" s="36" t="s">
        <v>591</v>
      </c>
      <c r="K660" s="36" t="s">
        <v>572</v>
      </c>
      <c r="L660" s="37">
        <v>3990</v>
      </c>
      <c r="M660" s="271">
        <v>3990</v>
      </c>
      <c r="N660" s="34" t="s">
        <v>929</v>
      </c>
      <c r="O660" s="34" t="s">
        <v>572</v>
      </c>
      <c r="P660" s="272" t="s">
        <v>952</v>
      </c>
    </row>
    <row r="661" spans="1:16" x14ac:dyDescent="0.25">
      <c r="A661" s="270" t="s">
        <v>411</v>
      </c>
      <c r="B661" s="31" t="s">
        <v>410</v>
      </c>
      <c r="C661" s="31" t="s">
        <v>418</v>
      </c>
      <c r="D661" s="31" t="s">
        <v>438</v>
      </c>
      <c r="E661" s="31" t="s">
        <v>199</v>
      </c>
      <c r="F661" s="35" t="s">
        <v>440</v>
      </c>
      <c r="G661" s="33" t="s">
        <v>506</v>
      </c>
      <c r="H661" s="33" t="s">
        <v>603</v>
      </c>
      <c r="I661" s="36" t="s">
        <v>552</v>
      </c>
      <c r="J661" s="36" t="s">
        <v>580</v>
      </c>
      <c r="K661" s="36" t="s">
        <v>1056</v>
      </c>
      <c r="L661" s="37">
        <v>2945</v>
      </c>
      <c r="M661" s="271">
        <v>2945</v>
      </c>
      <c r="N661" s="34"/>
      <c r="O661" s="34" t="s">
        <v>1057</v>
      </c>
      <c r="P661" s="272" t="s">
        <v>1128</v>
      </c>
    </row>
    <row r="662" spans="1:16" x14ac:dyDescent="0.25">
      <c r="A662" s="270" t="s">
        <v>411</v>
      </c>
      <c r="B662" s="31" t="s">
        <v>410</v>
      </c>
      <c r="C662" s="31" t="s">
        <v>418</v>
      </c>
      <c r="D662" s="31" t="s">
        <v>438</v>
      </c>
      <c r="E662" s="31" t="s">
        <v>199</v>
      </c>
      <c r="F662" s="35" t="s">
        <v>440</v>
      </c>
      <c r="G662" s="33" t="s">
        <v>505</v>
      </c>
      <c r="H662" s="33" t="s">
        <v>603</v>
      </c>
      <c r="I662" s="36" t="s">
        <v>552</v>
      </c>
      <c r="J662" s="36" t="s">
        <v>580</v>
      </c>
      <c r="K662" s="36" t="s">
        <v>1056</v>
      </c>
      <c r="L662" s="37">
        <v>2755</v>
      </c>
      <c r="M662" s="271">
        <v>275</v>
      </c>
      <c r="N662" s="34"/>
      <c r="O662" s="34" t="s">
        <v>1058</v>
      </c>
      <c r="P662" s="272" t="s">
        <v>1127</v>
      </c>
    </row>
    <row r="663" spans="1:16" x14ac:dyDescent="0.25">
      <c r="A663" s="270" t="s">
        <v>411</v>
      </c>
      <c r="B663" s="31" t="s">
        <v>410</v>
      </c>
      <c r="C663" s="31" t="s">
        <v>418</v>
      </c>
      <c r="D663" s="31" t="s">
        <v>438</v>
      </c>
      <c r="E663" s="31" t="s">
        <v>199</v>
      </c>
      <c r="F663" s="35" t="s">
        <v>440</v>
      </c>
      <c r="G663" s="33" t="s">
        <v>507</v>
      </c>
      <c r="H663" s="33" t="s">
        <v>603</v>
      </c>
      <c r="I663" s="36" t="s">
        <v>552</v>
      </c>
      <c r="J663" s="36" t="s">
        <v>580</v>
      </c>
      <c r="K663" s="36" t="s">
        <v>1056</v>
      </c>
      <c r="L663" s="37">
        <v>2850</v>
      </c>
      <c r="M663" s="271">
        <v>2850</v>
      </c>
      <c r="N663" s="34"/>
      <c r="O663" s="34" t="s">
        <v>1055</v>
      </c>
      <c r="P663" s="272" t="s">
        <v>1054</v>
      </c>
    </row>
    <row r="664" spans="1:16" x14ac:dyDescent="0.25">
      <c r="A664" s="270" t="s">
        <v>411</v>
      </c>
      <c r="B664" s="31" t="s">
        <v>410</v>
      </c>
      <c r="C664" s="31" t="s">
        <v>418</v>
      </c>
      <c r="D664" s="31" t="s">
        <v>438</v>
      </c>
      <c r="E664" s="31" t="s">
        <v>199</v>
      </c>
      <c r="F664" s="35" t="s">
        <v>440</v>
      </c>
      <c r="G664" s="33" t="s">
        <v>1136</v>
      </c>
      <c r="H664" s="33" t="s">
        <v>603</v>
      </c>
      <c r="I664" s="36" t="s">
        <v>552</v>
      </c>
      <c r="J664" s="36" t="s">
        <v>580</v>
      </c>
      <c r="K664" s="36" t="s">
        <v>503</v>
      </c>
      <c r="L664" s="37">
        <f>(950+1425)*2</f>
        <v>4750</v>
      </c>
      <c r="M664" s="271">
        <v>4750</v>
      </c>
      <c r="N664" s="34"/>
      <c r="O664" s="34" t="s">
        <v>1126</v>
      </c>
      <c r="P664" s="272" t="s">
        <v>1023</v>
      </c>
    </row>
    <row r="665" spans="1:16" x14ac:dyDescent="0.25">
      <c r="A665" s="270" t="s">
        <v>411</v>
      </c>
      <c r="B665" s="31" t="s">
        <v>410</v>
      </c>
      <c r="C665" s="31" t="s">
        <v>418</v>
      </c>
      <c r="D665" s="31" t="s">
        <v>438</v>
      </c>
      <c r="E665" s="31" t="s">
        <v>199</v>
      </c>
      <c r="F665" s="35" t="s">
        <v>440</v>
      </c>
      <c r="G665" s="33" t="s">
        <v>1136</v>
      </c>
      <c r="H665" s="33" t="s">
        <v>603</v>
      </c>
      <c r="I665" s="36" t="s">
        <v>552</v>
      </c>
      <c r="J665" s="36" t="s">
        <v>580</v>
      </c>
      <c r="K665" s="36" t="s">
        <v>503</v>
      </c>
      <c r="L665" s="37">
        <v>4940</v>
      </c>
      <c r="M665" s="271">
        <v>4940</v>
      </c>
      <c r="N665" s="34"/>
      <c r="O665" s="34" t="s">
        <v>503</v>
      </c>
      <c r="P665" s="272" t="s">
        <v>1135</v>
      </c>
    </row>
    <row r="666" spans="1:16" x14ac:dyDescent="0.25">
      <c r="A666" s="270" t="s">
        <v>411</v>
      </c>
      <c r="B666" s="31" t="s">
        <v>410</v>
      </c>
      <c r="C666" s="31" t="s">
        <v>418</v>
      </c>
      <c r="D666" s="31" t="s">
        <v>438</v>
      </c>
      <c r="E666" s="31" t="s">
        <v>199</v>
      </c>
      <c r="F666" s="35" t="s">
        <v>440</v>
      </c>
      <c r="G666" s="33" t="s">
        <v>1130</v>
      </c>
      <c r="H666" s="33" t="s">
        <v>603</v>
      </c>
      <c r="I666" s="36" t="s">
        <v>552</v>
      </c>
      <c r="J666" s="36" t="s">
        <v>580</v>
      </c>
      <c r="K666" s="36" t="s">
        <v>504</v>
      </c>
      <c r="L666" s="37">
        <f>(950+1425)*2</f>
        <v>4750</v>
      </c>
      <c r="M666" s="271">
        <v>4750</v>
      </c>
      <c r="N666" s="34"/>
      <c r="O666" s="34" t="s">
        <v>1126</v>
      </c>
      <c r="P666" s="272" t="s">
        <v>1023</v>
      </c>
    </row>
    <row r="667" spans="1:16" x14ac:dyDescent="0.25">
      <c r="A667" s="270" t="s">
        <v>411</v>
      </c>
      <c r="B667" s="31" t="s">
        <v>410</v>
      </c>
      <c r="C667" s="31" t="s">
        <v>418</v>
      </c>
      <c r="D667" s="31" t="s">
        <v>438</v>
      </c>
      <c r="E667" s="31" t="s">
        <v>199</v>
      </c>
      <c r="F667" s="35" t="s">
        <v>440</v>
      </c>
      <c r="G667" s="33" t="s">
        <v>1130</v>
      </c>
      <c r="H667" s="33" t="s">
        <v>603</v>
      </c>
      <c r="I667" s="36" t="s">
        <v>552</v>
      </c>
      <c r="J667" s="36" t="s">
        <v>580</v>
      </c>
      <c r="K667" s="36" t="s">
        <v>504</v>
      </c>
      <c r="L667" s="37">
        <v>3705</v>
      </c>
      <c r="M667" s="271">
        <v>3705</v>
      </c>
      <c r="N667" s="34"/>
      <c r="O667" s="34" t="s">
        <v>504</v>
      </c>
      <c r="P667" s="272" t="s">
        <v>1131</v>
      </c>
    </row>
    <row r="668" spans="1:16" x14ac:dyDescent="0.25">
      <c r="A668" s="270" t="s">
        <v>411</v>
      </c>
      <c r="B668" s="31" t="s">
        <v>410</v>
      </c>
      <c r="C668" s="31" t="s">
        <v>418</v>
      </c>
      <c r="D668" s="31" t="s">
        <v>438</v>
      </c>
      <c r="E668" s="31" t="s">
        <v>199</v>
      </c>
      <c r="F668" s="35" t="s">
        <v>440</v>
      </c>
      <c r="G668" s="33" t="s">
        <v>1130</v>
      </c>
      <c r="H668" s="33" t="s">
        <v>603</v>
      </c>
      <c r="I668" s="36" t="s">
        <v>552</v>
      </c>
      <c r="J668" s="36" t="s">
        <v>580</v>
      </c>
      <c r="K668" s="36" t="s">
        <v>505</v>
      </c>
      <c r="L668" s="37">
        <f>(950+1425)*2</f>
        <v>4750</v>
      </c>
      <c r="M668" s="271">
        <v>4750</v>
      </c>
      <c r="N668" s="34"/>
      <c r="O668" s="34" t="s">
        <v>1126</v>
      </c>
      <c r="P668" s="272" t="s">
        <v>1023</v>
      </c>
    </row>
    <row r="669" spans="1:16" x14ac:dyDescent="0.25">
      <c r="A669" s="270" t="s">
        <v>411</v>
      </c>
      <c r="B669" s="31" t="s">
        <v>410</v>
      </c>
      <c r="C669" s="31" t="s">
        <v>418</v>
      </c>
      <c r="D669" s="31" t="s">
        <v>438</v>
      </c>
      <c r="E669" s="31" t="s">
        <v>199</v>
      </c>
      <c r="F669" s="35" t="s">
        <v>440</v>
      </c>
      <c r="G669" s="33" t="s">
        <v>1124</v>
      </c>
      <c r="H669" s="33" t="s">
        <v>603</v>
      </c>
      <c r="I669" s="36" t="s">
        <v>552</v>
      </c>
      <c r="J669" s="36" t="s">
        <v>580</v>
      </c>
      <c r="K669" s="36" t="s">
        <v>505</v>
      </c>
      <c r="L669" s="37">
        <v>3705</v>
      </c>
      <c r="M669" s="271">
        <v>3705</v>
      </c>
      <c r="N669" s="34"/>
      <c r="O669" s="34" t="s">
        <v>505</v>
      </c>
      <c r="P669" s="272" t="s">
        <v>1121</v>
      </c>
    </row>
    <row r="670" spans="1:16" x14ac:dyDescent="0.25">
      <c r="A670" s="270" t="s">
        <v>411</v>
      </c>
      <c r="B670" s="31" t="s">
        <v>410</v>
      </c>
      <c r="C670" s="31" t="s">
        <v>418</v>
      </c>
      <c r="D670" s="31" t="s">
        <v>438</v>
      </c>
      <c r="E670" s="31" t="s">
        <v>199</v>
      </c>
      <c r="F670" s="35" t="s">
        <v>440</v>
      </c>
      <c r="G670" s="33" t="s">
        <v>1137</v>
      </c>
      <c r="H670" s="33" t="s">
        <v>603</v>
      </c>
      <c r="I670" s="36" t="s">
        <v>552</v>
      </c>
      <c r="J670" s="36" t="s">
        <v>580</v>
      </c>
      <c r="K670" s="36" t="s">
        <v>506</v>
      </c>
      <c r="L670" s="37">
        <f>(950+1425)*2</f>
        <v>4750</v>
      </c>
      <c r="M670" s="271">
        <v>4750</v>
      </c>
      <c r="N670" s="34"/>
      <c r="O670" s="34" t="s">
        <v>1126</v>
      </c>
      <c r="P670" s="272" t="s">
        <v>1023</v>
      </c>
    </row>
    <row r="671" spans="1:16" x14ac:dyDescent="0.25">
      <c r="A671" s="270" t="s">
        <v>411</v>
      </c>
      <c r="B671" s="31" t="s">
        <v>410</v>
      </c>
      <c r="C671" s="31" t="s">
        <v>418</v>
      </c>
      <c r="D671" s="31" t="s">
        <v>438</v>
      </c>
      <c r="E671" s="31" t="s">
        <v>199</v>
      </c>
      <c r="F671" s="35" t="s">
        <v>440</v>
      </c>
      <c r="G671" s="33" t="s">
        <v>1137</v>
      </c>
      <c r="H671" s="33" t="s">
        <v>603</v>
      </c>
      <c r="I671" s="36" t="s">
        <v>552</v>
      </c>
      <c r="J671" s="36" t="s">
        <v>580</v>
      </c>
      <c r="K671" s="36" t="s">
        <v>506</v>
      </c>
      <c r="L671" s="37">
        <v>4940</v>
      </c>
      <c r="M671" s="271">
        <v>4940</v>
      </c>
      <c r="N671" s="34"/>
      <c r="O671" s="34" t="s">
        <v>506</v>
      </c>
      <c r="P671" s="272" t="s">
        <v>1134</v>
      </c>
    </row>
    <row r="672" spans="1:16" x14ac:dyDescent="0.25">
      <c r="A672" s="270" t="s">
        <v>411</v>
      </c>
      <c r="B672" s="31" t="s">
        <v>410</v>
      </c>
      <c r="C672" s="31" t="s">
        <v>418</v>
      </c>
      <c r="D672" s="31" t="s">
        <v>438</v>
      </c>
      <c r="E672" s="31" t="s">
        <v>199</v>
      </c>
      <c r="F672" s="35" t="s">
        <v>440</v>
      </c>
      <c r="G672" s="33" t="s">
        <v>1140</v>
      </c>
      <c r="H672" s="33" t="s">
        <v>603</v>
      </c>
      <c r="I672" s="36" t="s">
        <v>552</v>
      </c>
      <c r="J672" s="36" t="s">
        <v>580</v>
      </c>
      <c r="K672" s="36" t="s">
        <v>507</v>
      </c>
      <c r="L672" s="37">
        <f>(950+1425)*2</f>
        <v>4750</v>
      </c>
      <c r="M672" s="271">
        <v>4750</v>
      </c>
      <c r="N672" s="34"/>
      <c r="O672" s="34" t="s">
        <v>1126</v>
      </c>
      <c r="P672" s="272" t="s">
        <v>1023</v>
      </c>
    </row>
    <row r="673" spans="1:16" x14ac:dyDescent="0.25">
      <c r="A673" s="270" t="s">
        <v>411</v>
      </c>
      <c r="B673" s="31" t="s">
        <v>410</v>
      </c>
      <c r="C673" s="31" t="s">
        <v>418</v>
      </c>
      <c r="D673" s="31" t="s">
        <v>438</v>
      </c>
      <c r="E673" s="31" t="s">
        <v>199</v>
      </c>
      <c r="F673" s="35" t="s">
        <v>440</v>
      </c>
      <c r="G673" s="33" t="s">
        <v>1140</v>
      </c>
      <c r="H673" s="33" t="s">
        <v>603</v>
      </c>
      <c r="I673" s="36" t="s">
        <v>552</v>
      </c>
      <c r="J673" s="36" t="s">
        <v>580</v>
      </c>
      <c r="K673" s="36" t="s">
        <v>507</v>
      </c>
      <c r="L673" s="37">
        <v>4940</v>
      </c>
      <c r="M673" s="271">
        <v>4940</v>
      </c>
      <c r="N673" s="34"/>
      <c r="O673" s="34" t="s">
        <v>507</v>
      </c>
      <c r="P673" s="272" t="s">
        <v>1138</v>
      </c>
    </row>
    <row r="674" spans="1:16" x14ac:dyDescent="0.25">
      <c r="A674" s="270" t="s">
        <v>411</v>
      </c>
      <c r="B674" s="31" t="s">
        <v>410</v>
      </c>
      <c r="C674" s="31" t="s">
        <v>418</v>
      </c>
      <c r="D674" s="31" t="s">
        <v>438</v>
      </c>
      <c r="E674" s="31" t="s">
        <v>199</v>
      </c>
      <c r="F674" s="35" t="s">
        <v>440</v>
      </c>
      <c r="G674" s="33" t="s">
        <v>1154</v>
      </c>
      <c r="H674" s="33" t="s">
        <v>603</v>
      </c>
      <c r="I674" s="36" t="s">
        <v>552</v>
      </c>
      <c r="J674" s="36" t="s">
        <v>580</v>
      </c>
      <c r="K674" s="36" t="s">
        <v>502</v>
      </c>
      <c r="L674" s="37">
        <v>41895</v>
      </c>
      <c r="M674" s="271">
        <v>41895</v>
      </c>
      <c r="N674" s="34"/>
      <c r="O674" s="34" t="s">
        <v>502</v>
      </c>
      <c r="P674" s="272" t="s">
        <v>1156</v>
      </c>
    </row>
    <row r="675" spans="1:16" x14ac:dyDescent="0.25">
      <c r="A675" s="270" t="s">
        <v>411</v>
      </c>
      <c r="B675" s="31" t="s">
        <v>410</v>
      </c>
      <c r="C675" s="31" t="s">
        <v>418</v>
      </c>
      <c r="D675" s="31" t="s">
        <v>438</v>
      </c>
      <c r="E675" s="31" t="s">
        <v>199</v>
      </c>
      <c r="F675" s="35" t="s">
        <v>440</v>
      </c>
      <c r="G675" s="33" t="s">
        <v>1151</v>
      </c>
      <c r="H675" s="33" t="s">
        <v>603</v>
      </c>
      <c r="I675" s="36" t="s">
        <v>553</v>
      </c>
      <c r="J675" s="36" t="s">
        <v>581</v>
      </c>
      <c r="K675" s="36" t="s">
        <v>516</v>
      </c>
      <c r="L675" s="37">
        <v>2280</v>
      </c>
      <c r="M675" s="271">
        <v>2280</v>
      </c>
      <c r="N675" s="34"/>
      <c r="O675" s="34" t="s">
        <v>516</v>
      </c>
      <c r="P675" s="272" t="s">
        <v>1150</v>
      </c>
    </row>
    <row r="676" spans="1:16" x14ac:dyDescent="0.25">
      <c r="A676" s="270" t="s">
        <v>411</v>
      </c>
      <c r="B676" s="31" t="s">
        <v>410</v>
      </c>
      <c r="C676" s="31" t="s">
        <v>418</v>
      </c>
      <c r="D676" s="31" t="s">
        <v>438</v>
      </c>
      <c r="E676" s="31" t="s">
        <v>199</v>
      </c>
      <c r="F676" s="35" t="s">
        <v>440</v>
      </c>
      <c r="G676" s="33" t="s">
        <v>512</v>
      </c>
      <c r="H676" s="33" t="s">
        <v>603</v>
      </c>
      <c r="I676" s="36" t="s">
        <v>555</v>
      </c>
      <c r="J676" s="36" t="s">
        <v>578</v>
      </c>
      <c r="K676" s="36" t="s">
        <v>511</v>
      </c>
      <c r="L676" s="37">
        <v>7315</v>
      </c>
      <c r="M676" s="271">
        <v>7500</v>
      </c>
      <c r="N676" s="34"/>
      <c r="O676" s="34"/>
      <c r="P676" s="272" t="s">
        <v>966</v>
      </c>
    </row>
    <row r="677" spans="1:16" x14ac:dyDescent="0.25">
      <c r="A677" s="270" t="s">
        <v>411</v>
      </c>
      <c r="B677" s="31" t="s">
        <v>410</v>
      </c>
      <c r="C677" s="31" t="s">
        <v>418</v>
      </c>
      <c r="D677" s="31" t="s">
        <v>438</v>
      </c>
      <c r="E677" s="31" t="s">
        <v>199</v>
      </c>
      <c r="F677" s="35" t="s">
        <v>440</v>
      </c>
      <c r="G677" s="33" t="s">
        <v>498</v>
      </c>
      <c r="H677" s="33" t="s">
        <v>603</v>
      </c>
      <c r="I677" s="36" t="s">
        <v>555</v>
      </c>
      <c r="J677" s="36" t="s">
        <v>579</v>
      </c>
      <c r="K677" s="36" t="s">
        <v>587</v>
      </c>
      <c r="L677" s="37">
        <v>1425</v>
      </c>
      <c r="M677" s="271">
        <v>1425</v>
      </c>
      <c r="N677" s="34"/>
      <c r="O677" s="34"/>
      <c r="P677" s="272" t="s">
        <v>1002</v>
      </c>
    </row>
    <row r="678" spans="1:16" x14ac:dyDescent="0.25">
      <c r="A678" s="270" t="s">
        <v>411</v>
      </c>
      <c r="B678" s="31" t="s">
        <v>410</v>
      </c>
      <c r="C678" s="31" t="s">
        <v>418</v>
      </c>
      <c r="D678" s="31" t="s">
        <v>438</v>
      </c>
      <c r="E678" s="31" t="s">
        <v>199</v>
      </c>
      <c r="F678" s="35" t="s">
        <v>440</v>
      </c>
      <c r="G678" s="33" t="s">
        <v>501</v>
      </c>
      <c r="H678" s="33" t="s">
        <v>603</v>
      </c>
      <c r="I678" s="36" t="s">
        <v>555</v>
      </c>
      <c r="J678" s="36" t="s">
        <v>577</v>
      </c>
      <c r="K678" s="36" t="s">
        <v>1059</v>
      </c>
      <c r="L678" s="37">
        <v>10260</v>
      </c>
      <c r="M678" s="271">
        <v>10260</v>
      </c>
      <c r="N678" s="34"/>
      <c r="O678" s="34" t="s">
        <v>1061</v>
      </c>
      <c r="P678" s="272" t="s">
        <v>1060</v>
      </c>
    </row>
    <row r="679" spans="1:16" x14ac:dyDescent="0.25">
      <c r="A679" s="270" t="s">
        <v>411</v>
      </c>
      <c r="B679" s="31" t="s">
        <v>410</v>
      </c>
      <c r="C679" s="31" t="s">
        <v>418</v>
      </c>
      <c r="D679" s="31" t="s">
        <v>438</v>
      </c>
      <c r="E679" s="31" t="s">
        <v>199</v>
      </c>
      <c r="F679" s="35" t="s">
        <v>440</v>
      </c>
      <c r="G679" s="33" t="s">
        <v>1082</v>
      </c>
      <c r="H679" s="33" t="s">
        <v>603</v>
      </c>
      <c r="I679" s="36" t="s">
        <v>555</v>
      </c>
      <c r="J679" s="36" t="s">
        <v>577</v>
      </c>
      <c r="K679" s="36" t="s">
        <v>1059</v>
      </c>
      <c r="L679" s="37">
        <v>2280</v>
      </c>
      <c r="M679" s="271">
        <v>2280</v>
      </c>
      <c r="N679" s="34"/>
      <c r="O679" s="34" t="s">
        <v>1083</v>
      </c>
      <c r="P679" s="272" t="s">
        <v>1086</v>
      </c>
    </row>
    <row r="680" spans="1:16" x14ac:dyDescent="0.25">
      <c r="A680" s="270" t="s">
        <v>411</v>
      </c>
      <c r="B680" s="31" t="s">
        <v>410</v>
      </c>
      <c r="C680" s="31" t="s">
        <v>418</v>
      </c>
      <c r="D680" s="31" t="s">
        <v>438</v>
      </c>
      <c r="E680" s="31" t="s">
        <v>199</v>
      </c>
      <c r="F680" s="35" t="s">
        <v>440</v>
      </c>
      <c r="G680" s="33" t="s">
        <v>1067</v>
      </c>
      <c r="H680" s="33" t="s">
        <v>603</v>
      </c>
      <c r="I680" s="36" t="s">
        <v>555</v>
      </c>
      <c r="J680" s="36" t="s">
        <v>577</v>
      </c>
      <c r="K680" s="36" t="s">
        <v>589</v>
      </c>
      <c r="L680" s="37">
        <v>113050</v>
      </c>
      <c r="M680" s="271">
        <v>113055</v>
      </c>
      <c r="N680" s="34"/>
      <c r="O680" s="34" t="s">
        <v>1076</v>
      </c>
      <c r="P680" s="272" t="s">
        <v>1074</v>
      </c>
    </row>
    <row r="681" spans="1:16" x14ac:dyDescent="0.25">
      <c r="A681" s="270" t="s">
        <v>411</v>
      </c>
      <c r="B681" s="31" t="s">
        <v>410</v>
      </c>
      <c r="C681" s="31" t="s">
        <v>418</v>
      </c>
      <c r="D681" s="31" t="s">
        <v>438</v>
      </c>
      <c r="E681" s="31" t="s">
        <v>199</v>
      </c>
      <c r="F681" s="35" t="s">
        <v>440</v>
      </c>
      <c r="G681" s="33" t="s">
        <v>1158</v>
      </c>
      <c r="H681" s="33" t="s">
        <v>603</v>
      </c>
      <c r="I681" s="36" t="s">
        <v>555</v>
      </c>
      <c r="J681" s="36" t="s">
        <v>577</v>
      </c>
      <c r="K681" s="36" t="s">
        <v>532</v>
      </c>
      <c r="L681" s="37">
        <v>14630</v>
      </c>
      <c r="M681" s="271">
        <v>14630</v>
      </c>
      <c r="N681" s="34"/>
      <c r="O681" s="34" t="s">
        <v>532</v>
      </c>
      <c r="P681" s="272" t="s">
        <v>1159</v>
      </c>
    </row>
    <row r="682" spans="1:16" x14ac:dyDescent="0.25">
      <c r="A682" s="270" t="s">
        <v>411</v>
      </c>
      <c r="B682" s="31" t="s">
        <v>410</v>
      </c>
      <c r="C682" s="31" t="s">
        <v>418</v>
      </c>
      <c r="D682" s="31" t="s">
        <v>438</v>
      </c>
      <c r="E682" s="31" t="s">
        <v>199</v>
      </c>
      <c r="F682" s="35" t="s">
        <v>440</v>
      </c>
      <c r="G682" s="33" t="s">
        <v>1077</v>
      </c>
      <c r="H682" s="33" t="s">
        <v>603</v>
      </c>
      <c r="I682" s="36" t="s">
        <v>555</v>
      </c>
      <c r="J682" s="36" t="s">
        <v>577</v>
      </c>
      <c r="K682" s="36" t="s">
        <v>509</v>
      </c>
      <c r="L682" s="37">
        <v>380</v>
      </c>
      <c r="M682" s="271">
        <v>380</v>
      </c>
      <c r="N682" s="34"/>
      <c r="O682" s="34" t="s">
        <v>1078</v>
      </c>
      <c r="P682" s="272" t="s">
        <v>1080</v>
      </c>
    </row>
    <row r="683" spans="1:16" x14ac:dyDescent="0.25">
      <c r="A683" s="270" t="s">
        <v>411</v>
      </c>
      <c r="B683" s="31" t="s">
        <v>410</v>
      </c>
      <c r="C683" s="31" t="s">
        <v>418</v>
      </c>
      <c r="D683" s="31" t="s">
        <v>438</v>
      </c>
      <c r="E683" s="31" t="s">
        <v>199</v>
      </c>
      <c r="F683" s="35" t="s">
        <v>440</v>
      </c>
      <c r="G683" s="33" t="s">
        <v>1146</v>
      </c>
      <c r="H683" s="33" t="s">
        <v>603</v>
      </c>
      <c r="I683" s="36" t="s">
        <v>555</v>
      </c>
      <c r="J683" s="36" t="s">
        <v>577</v>
      </c>
      <c r="K683" s="36" t="s">
        <v>501</v>
      </c>
      <c r="L683" s="37">
        <v>9500</v>
      </c>
      <c r="M683" s="271">
        <v>9500</v>
      </c>
      <c r="N683" s="34"/>
      <c r="O683" s="34" t="s">
        <v>501</v>
      </c>
      <c r="P683" s="272" t="s">
        <v>1141</v>
      </c>
    </row>
    <row r="684" spans="1:16" x14ac:dyDescent="0.25">
      <c r="A684" s="270" t="s">
        <v>411</v>
      </c>
      <c r="B684" s="31" t="s">
        <v>410</v>
      </c>
      <c r="C684" s="31" t="s">
        <v>418</v>
      </c>
      <c r="D684" s="31" t="s">
        <v>438</v>
      </c>
      <c r="E684" s="31" t="s">
        <v>199</v>
      </c>
      <c r="F684" s="35" t="s">
        <v>440</v>
      </c>
      <c r="G684" s="33" t="s">
        <v>1068</v>
      </c>
      <c r="H684" s="33" t="s">
        <v>603</v>
      </c>
      <c r="I684" s="36" t="s">
        <v>555</v>
      </c>
      <c r="J684" s="36" t="s">
        <v>577</v>
      </c>
      <c r="K684" s="36" t="s">
        <v>510</v>
      </c>
      <c r="L684" s="37">
        <v>22230</v>
      </c>
      <c r="M684" s="271">
        <v>22230</v>
      </c>
      <c r="N684" s="34"/>
      <c r="O684" s="34" t="s">
        <v>1070</v>
      </c>
      <c r="P684" s="272" t="s">
        <v>1071</v>
      </c>
    </row>
    <row r="685" spans="1:16" x14ac:dyDescent="0.25">
      <c r="A685" s="270" t="s">
        <v>411</v>
      </c>
      <c r="B685" s="31" t="s">
        <v>410</v>
      </c>
      <c r="C685" s="31" t="s">
        <v>418</v>
      </c>
      <c r="D685" s="31" t="s">
        <v>438</v>
      </c>
      <c r="E685" s="31" t="s">
        <v>199</v>
      </c>
      <c r="F685" s="35" t="s">
        <v>440</v>
      </c>
      <c r="G685" s="33" t="s">
        <v>1066</v>
      </c>
      <c r="H685" s="33" t="s">
        <v>603</v>
      </c>
      <c r="I685" s="36" t="s">
        <v>555</v>
      </c>
      <c r="J685" s="36" t="s">
        <v>577</v>
      </c>
      <c r="K685" s="36" t="s">
        <v>996</v>
      </c>
      <c r="L685" s="37">
        <v>30685</v>
      </c>
      <c r="M685" s="271">
        <v>30685</v>
      </c>
      <c r="N685" s="34"/>
      <c r="O685" s="34" t="s">
        <v>1063</v>
      </c>
      <c r="P685" s="272" t="s">
        <v>1065</v>
      </c>
    </row>
    <row r="686" spans="1:16" x14ac:dyDescent="0.25">
      <c r="A686" s="270" t="s">
        <v>411</v>
      </c>
      <c r="B686" s="31" t="s">
        <v>410</v>
      </c>
      <c r="C686" s="31" t="s">
        <v>418</v>
      </c>
      <c r="D686" s="31" t="s">
        <v>438</v>
      </c>
      <c r="E686" s="31" t="s">
        <v>199</v>
      </c>
      <c r="F686" s="35" t="s">
        <v>440</v>
      </c>
      <c r="G686" s="33" t="s">
        <v>554</v>
      </c>
      <c r="H686" s="33" t="s">
        <v>603</v>
      </c>
      <c r="I686" s="36" t="s">
        <v>555</v>
      </c>
      <c r="J686" s="36" t="s">
        <v>577</v>
      </c>
      <c r="K686" s="36" t="s">
        <v>554</v>
      </c>
      <c r="L686" s="37">
        <v>10640</v>
      </c>
      <c r="M686" s="271">
        <v>10640</v>
      </c>
      <c r="N686" s="34"/>
      <c r="O686" s="34" t="s">
        <v>554</v>
      </c>
      <c r="P686" s="272" t="s">
        <v>1193</v>
      </c>
    </row>
    <row r="687" spans="1:16" x14ac:dyDescent="0.25">
      <c r="A687" s="270" t="s">
        <v>411</v>
      </c>
      <c r="B687" s="31" t="s">
        <v>410</v>
      </c>
      <c r="C687" s="31" t="s">
        <v>418</v>
      </c>
      <c r="D687" s="31" t="s">
        <v>438</v>
      </c>
      <c r="E687" s="31" t="s">
        <v>199</v>
      </c>
      <c r="F687" s="35" t="s">
        <v>440</v>
      </c>
      <c r="G687" s="33" t="s">
        <v>1117</v>
      </c>
      <c r="H687" s="33" t="s">
        <v>603</v>
      </c>
      <c r="I687" s="36" t="s">
        <v>555</v>
      </c>
      <c r="J687" s="36" t="s">
        <v>578</v>
      </c>
      <c r="K687" s="36" t="s">
        <v>1118</v>
      </c>
      <c r="L687" s="37">
        <v>4465</v>
      </c>
      <c r="M687" s="271">
        <v>4465</v>
      </c>
      <c r="N687" s="34"/>
      <c r="O687" s="34" t="s">
        <v>1119</v>
      </c>
      <c r="P687" s="272" t="s">
        <v>1120</v>
      </c>
    </row>
    <row r="688" spans="1:16" x14ac:dyDescent="0.25">
      <c r="A688" s="270" t="s">
        <v>411</v>
      </c>
      <c r="B688" s="31" t="s">
        <v>410</v>
      </c>
      <c r="C688" s="31" t="s">
        <v>418</v>
      </c>
      <c r="D688" s="31" t="s">
        <v>438</v>
      </c>
      <c r="E688" s="31" t="s">
        <v>199</v>
      </c>
      <c r="F688" s="35" t="s">
        <v>440</v>
      </c>
      <c r="G688" s="33" t="s">
        <v>929</v>
      </c>
      <c r="H688" s="33" t="s">
        <v>602</v>
      </c>
      <c r="I688" s="36" t="s">
        <v>555</v>
      </c>
      <c r="J688" s="36" t="s">
        <v>578</v>
      </c>
      <c r="K688" s="36" t="s">
        <v>571</v>
      </c>
      <c r="L688" s="37">
        <v>6650</v>
      </c>
      <c r="M688" s="271">
        <v>6650</v>
      </c>
      <c r="N688" s="34" t="s">
        <v>929</v>
      </c>
      <c r="O688" s="34" t="s">
        <v>930</v>
      </c>
      <c r="P688" s="272" t="s">
        <v>928</v>
      </c>
    </row>
    <row r="689" spans="1:16" x14ac:dyDescent="0.25">
      <c r="A689" s="270" t="s">
        <v>411</v>
      </c>
      <c r="B689" s="31" t="s">
        <v>410</v>
      </c>
      <c r="C689" s="31" t="s">
        <v>418</v>
      </c>
      <c r="D689" s="31" t="s">
        <v>438</v>
      </c>
      <c r="E689" s="31" t="s">
        <v>199</v>
      </c>
      <c r="F689" s="35" t="s">
        <v>440</v>
      </c>
      <c r="G689" s="33" t="s">
        <v>929</v>
      </c>
      <c r="H689" s="33" t="s">
        <v>602</v>
      </c>
      <c r="I689" s="36" t="s">
        <v>555</v>
      </c>
      <c r="J689" s="36" t="s">
        <v>578</v>
      </c>
      <c r="K689" s="36" t="s">
        <v>571</v>
      </c>
      <c r="L689" s="37">
        <v>5415</v>
      </c>
      <c r="M689" s="271">
        <v>5415</v>
      </c>
      <c r="N689" s="34" t="s">
        <v>929</v>
      </c>
      <c r="O689" s="34" t="s">
        <v>933</v>
      </c>
      <c r="P689" s="272" t="s">
        <v>934</v>
      </c>
    </row>
    <row r="690" spans="1:16" x14ac:dyDescent="0.25">
      <c r="A690" s="270" t="s">
        <v>411</v>
      </c>
      <c r="B690" s="31" t="s">
        <v>410</v>
      </c>
      <c r="C690" s="31" t="s">
        <v>418</v>
      </c>
      <c r="D690" s="31" t="s">
        <v>438</v>
      </c>
      <c r="E690" s="31" t="s">
        <v>199</v>
      </c>
      <c r="F690" s="35" t="s">
        <v>440</v>
      </c>
      <c r="G690" s="33" t="s">
        <v>1112</v>
      </c>
      <c r="H690" s="33" t="s">
        <v>603</v>
      </c>
      <c r="I690" s="36" t="s">
        <v>555</v>
      </c>
      <c r="J690" s="36" t="s">
        <v>578</v>
      </c>
      <c r="K690" s="36" t="s">
        <v>1113</v>
      </c>
      <c r="L690" s="37">
        <v>380</v>
      </c>
      <c r="M690" s="271">
        <v>380</v>
      </c>
      <c r="N690" s="34"/>
      <c r="O690" s="34" t="s">
        <v>1114</v>
      </c>
      <c r="P690" s="272" t="s">
        <v>1116</v>
      </c>
    </row>
    <row r="691" spans="1:16" x14ac:dyDescent="0.25">
      <c r="A691" s="270" t="s">
        <v>411</v>
      </c>
      <c r="B691" s="31" t="s">
        <v>410</v>
      </c>
      <c r="C691" s="31" t="s">
        <v>418</v>
      </c>
      <c r="D691" s="31" t="s">
        <v>438</v>
      </c>
      <c r="E691" s="31" t="s">
        <v>199</v>
      </c>
      <c r="F691" s="35" t="s">
        <v>440</v>
      </c>
      <c r="G691" s="33" t="s">
        <v>1092</v>
      </c>
      <c r="H691" s="33" t="s">
        <v>603</v>
      </c>
      <c r="I691" s="36" t="s">
        <v>555</v>
      </c>
      <c r="J691" s="36" t="s">
        <v>875</v>
      </c>
      <c r="K691" s="36" t="s">
        <v>1093</v>
      </c>
      <c r="L691" s="37">
        <v>1140</v>
      </c>
      <c r="M691" s="271">
        <v>1140</v>
      </c>
      <c r="N691" s="34"/>
      <c r="O691" s="34" t="s">
        <v>1094</v>
      </c>
      <c r="P691" s="272" t="s">
        <v>1104</v>
      </c>
    </row>
    <row r="692" spans="1:16" x14ac:dyDescent="0.25">
      <c r="A692" s="270" t="s">
        <v>411</v>
      </c>
      <c r="B692" s="31" t="s">
        <v>410</v>
      </c>
      <c r="C692" s="31" t="s">
        <v>418</v>
      </c>
      <c r="D692" s="31" t="s">
        <v>438</v>
      </c>
      <c r="E692" s="31" t="s">
        <v>199</v>
      </c>
      <c r="F692" s="35" t="s">
        <v>440</v>
      </c>
      <c r="G692" s="33" t="s">
        <v>1107</v>
      </c>
      <c r="H692" s="33" t="s">
        <v>603</v>
      </c>
      <c r="I692" s="36" t="s">
        <v>555</v>
      </c>
      <c r="J692" s="36" t="s">
        <v>875</v>
      </c>
      <c r="K692" s="36" t="s">
        <v>1093</v>
      </c>
      <c r="L692" s="37">
        <v>95</v>
      </c>
      <c r="M692" s="271">
        <v>95</v>
      </c>
      <c r="N692" s="34"/>
      <c r="O692" s="34" t="s">
        <v>1108</v>
      </c>
      <c r="P692" s="272" t="s">
        <v>1110</v>
      </c>
    </row>
    <row r="693" spans="1:16" x14ac:dyDescent="0.25">
      <c r="A693" s="270" t="s">
        <v>411</v>
      </c>
      <c r="B693" s="31" t="s">
        <v>410</v>
      </c>
      <c r="C693" s="31" t="s">
        <v>418</v>
      </c>
      <c r="D693" s="31" t="s">
        <v>438</v>
      </c>
      <c r="E693" s="31" t="s">
        <v>199</v>
      </c>
      <c r="F693" s="35" t="s">
        <v>440</v>
      </c>
      <c r="G693" s="33" t="s">
        <v>1092</v>
      </c>
      <c r="H693" s="33" t="s">
        <v>603</v>
      </c>
      <c r="I693" s="36" t="s">
        <v>555</v>
      </c>
      <c r="J693" s="36" t="s">
        <v>875</v>
      </c>
      <c r="K693" s="36" t="s">
        <v>1093</v>
      </c>
      <c r="L693" s="37">
        <v>5320</v>
      </c>
      <c r="M693" s="271">
        <v>5320</v>
      </c>
      <c r="N693" s="34"/>
      <c r="O693" s="34" t="s">
        <v>1096</v>
      </c>
      <c r="P693" s="272" t="s">
        <v>1101</v>
      </c>
    </row>
    <row r="694" spans="1:16" x14ac:dyDescent="0.25">
      <c r="A694" s="270" t="s">
        <v>411</v>
      </c>
      <c r="B694" s="31" t="s">
        <v>410</v>
      </c>
      <c r="C694" s="31" t="s">
        <v>418</v>
      </c>
      <c r="D694" s="31" t="s">
        <v>438</v>
      </c>
      <c r="E694" s="31" t="s">
        <v>199</v>
      </c>
      <c r="F694" s="35" t="s">
        <v>440</v>
      </c>
      <c r="G694" s="33" t="s">
        <v>1092</v>
      </c>
      <c r="H694" s="33" t="s">
        <v>603</v>
      </c>
      <c r="I694" s="36" t="s">
        <v>555</v>
      </c>
      <c r="J694" s="36" t="s">
        <v>875</v>
      </c>
      <c r="K694" s="36" t="s">
        <v>1093</v>
      </c>
      <c r="L694" s="37">
        <v>3895</v>
      </c>
      <c r="M694" s="271">
        <v>3895</v>
      </c>
      <c r="N694" s="34"/>
      <c r="O694" s="34" t="s">
        <v>1099</v>
      </c>
      <c r="P694" s="272" t="s">
        <v>1100</v>
      </c>
    </row>
    <row r="695" spans="1:16" x14ac:dyDescent="0.25">
      <c r="A695" s="270" t="s">
        <v>411</v>
      </c>
      <c r="B695" s="31" t="s">
        <v>410</v>
      </c>
      <c r="C695" s="31" t="s">
        <v>418</v>
      </c>
      <c r="D695" s="31" t="s">
        <v>438</v>
      </c>
      <c r="E695" s="31" t="s">
        <v>199</v>
      </c>
      <c r="F695" s="35" t="s">
        <v>440</v>
      </c>
      <c r="G695" s="33" t="s">
        <v>1143</v>
      </c>
      <c r="H695" s="33" t="s">
        <v>603</v>
      </c>
      <c r="I695" s="36" t="s">
        <v>555</v>
      </c>
      <c r="J695" s="36" t="s">
        <v>875</v>
      </c>
      <c r="K695" s="36" t="s">
        <v>508</v>
      </c>
      <c r="L695" s="37">
        <v>5700</v>
      </c>
      <c r="M695" s="271">
        <v>5700</v>
      </c>
      <c r="N695" s="34"/>
      <c r="O695" s="34" t="s">
        <v>508</v>
      </c>
      <c r="P695" s="272" t="s">
        <v>1144</v>
      </c>
    </row>
    <row r="696" spans="1:16" x14ac:dyDescent="0.25">
      <c r="A696" s="270" t="s">
        <v>411</v>
      </c>
      <c r="B696" s="31" t="s">
        <v>410</v>
      </c>
      <c r="C696" s="31" t="s">
        <v>418</v>
      </c>
      <c r="D696" s="31" t="s">
        <v>438</v>
      </c>
      <c r="E696" s="31" t="s">
        <v>199</v>
      </c>
      <c r="F696" s="35" t="s">
        <v>440</v>
      </c>
      <c r="G696" s="33" t="s">
        <v>1166</v>
      </c>
      <c r="H696" s="33" t="s">
        <v>603</v>
      </c>
      <c r="I696" s="36" t="s">
        <v>555</v>
      </c>
      <c r="J696" s="36" t="s">
        <v>875</v>
      </c>
      <c r="K696" s="36" t="s">
        <v>519</v>
      </c>
      <c r="L696" s="37">
        <v>0</v>
      </c>
      <c r="M696" s="271">
        <v>0</v>
      </c>
      <c r="N696" s="34"/>
      <c r="O696" s="34" t="s">
        <v>1161</v>
      </c>
      <c r="P696" s="272" t="s">
        <v>1164</v>
      </c>
    </row>
    <row r="697" spans="1:16" x14ac:dyDescent="0.25">
      <c r="A697" s="270" t="s">
        <v>411</v>
      </c>
      <c r="B697" s="31" t="s">
        <v>410</v>
      </c>
      <c r="C697" s="31" t="s">
        <v>418</v>
      </c>
      <c r="D697" s="31" t="s">
        <v>438</v>
      </c>
      <c r="E697" s="31" t="s">
        <v>199</v>
      </c>
      <c r="F697" s="35" t="s">
        <v>440</v>
      </c>
      <c r="G697" s="33" t="s">
        <v>1147</v>
      </c>
      <c r="H697" s="33" t="s">
        <v>603</v>
      </c>
      <c r="I697" s="36" t="s">
        <v>555</v>
      </c>
      <c r="J697" s="36" t="s">
        <v>875</v>
      </c>
      <c r="K697" s="36" t="s">
        <v>517</v>
      </c>
      <c r="L697" s="37">
        <v>6935</v>
      </c>
      <c r="M697" s="271">
        <v>6935</v>
      </c>
      <c r="N697" s="34" t="s">
        <v>973</v>
      </c>
      <c r="O697" s="34" t="s">
        <v>1025</v>
      </c>
      <c r="P697" s="272" t="s">
        <v>1028</v>
      </c>
    </row>
    <row r="698" spans="1:16" x14ac:dyDescent="0.25">
      <c r="A698" s="270" t="s">
        <v>411</v>
      </c>
      <c r="B698" s="31" t="s">
        <v>410</v>
      </c>
      <c r="C698" s="31" t="s">
        <v>418</v>
      </c>
      <c r="D698" s="31" t="s">
        <v>438</v>
      </c>
      <c r="E698" s="31" t="s">
        <v>199</v>
      </c>
      <c r="F698" s="35" t="s">
        <v>440</v>
      </c>
      <c r="G698" s="33" t="s">
        <v>885</v>
      </c>
      <c r="H698" s="33" t="s">
        <v>603</v>
      </c>
      <c r="I698" s="36" t="s">
        <v>555</v>
      </c>
      <c r="J698" s="36" t="s">
        <v>875</v>
      </c>
      <c r="K698" s="36" t="s">
        <v>1195</v>
      </c>
      <c r="L698" s="37">
        <v>1425</v>
      </c>
      <c r="M698" s="271">
        <v>1425</v>
      </c>
      <c r="N698" s="34"/>
      <c r="O698" s="34" t="s">
        <v>1192</v>
      </c>
      <c r="P698" s="272" t="s">
        <v>1188</v>
      </c>
    </row>
    <row r="699" spans="1:16" x14ac:dyDescent="0.25">
      <c r="A699" s="270" t="s">
        <v>411</v>
      </c>
      <c r="B699" s="31" t="s">
        <v>410</v>
      </c>
      <c r="C699" s="31" t="s">
        <v>418</v>
      </c>
      <c r="D699" s="31" t="s">
        <v>438</v>
      </c>
      <c r="E699" s="31" t="s">
        <v>199</v>
      </c>
      <c r="F699" s="35" t="s">
        <v>440</v>
      </c>
      <c r="G699" s="33" t="s">
        <v>885</v>
      </c>
      <c r="H699" s="33" t="s">
        <v>603</v>
      </c>
      <c r="I699" s="36" t="s">
        <v>555</v>
      </c>
      <c r="J699" s="36" t="s">
        <v>875</v>
      </c>
      <c r="K699" s="36" t="s">
        <v>1194</v>
      </c>
      <c r="L699" s="37">
        <v>1995</v>
      </c>
      <c r="M699" s="271">
        <v>1995</v>
      </c>
      <c r="N699" s="34"/>
      <c r="O699" s="34" t="s">
        <v>1185</v>
      </c>
      <c r="P699" s="272" t="s">
        <v>1184</v>
      </c>
    </row>
    <row r="700" spans="1:16" x14ac:dyDescent="0.25">
      <c r="A700" s="270" t="s">
        <v>411</v>
      </c>
      <c r="B700" s="31" t="s">
        <v>410</v>
      </c>
      <c r="C700" s="31" t="s">
        <v>418</v>
      </c>
      <c r="D700" s="31" t="s">
        <v>438</v>
      </c>
      <c r="E700" s="31" t="s">
        <v>199</v>
      </c>
      <c r="F700" s="35" t="s">
        <v>440</v>
      </c>
      <c r="G700" s="33" t="s">
        <v>885</v>
      </c>
      <c r="H700" s="33" t="s">
        <v>603</v>
      </c>
      <c r="I700" s="36" t="s">
        <v>555</v>
      </c>
      <c r="J700" s="36" t="s">
        <v>875</v>
      </c>
      <c r="K700" s="36" t="s">
        <v>1196</v>
      </c>
      <c r="L700" s="37">
        <v>570</v>
      </c>
      <c r="M700" s="271">
        <v>570</v>
      </c>
      <c r="N700" s="34"/>
      <c r="O700" s="34" t="s">
        <v>1183</v>
      </c>
      <c r="P700" s="272" t="s">
        <v>1180</v>
      </c>
    </row>
    <row r="701" spans="1:16" x14ac:dyDescent="0.25">
      <c r="A701" s="270" t="s">
        <v>411</v>
      </c>
      <c r="B701" s="31" t="s">
        <v>410</v>
      </c>
      <c r="C701" s="31" t="s">
        <v>418</v>
      </c>
      <c r="D701" s="31" t="s">
        <v>438</v>
      </c>
      <c r="E701" s="31" t="s">
        <v>199</v>
      </c>
      <c r="F701" s="35" t="s">
        <v>440</v>
      </c>
      <c r="G701" s="33" t="s">
        <v>929</v>
      </c>
      <c r="H701" s="33" t="s">
        <v>602</v>
      </c>
      <c r="I701" s="36" t="s">
        <v>555</v>
      </c>
      <c r="J701" s="36" t="s">
        <v>875</v>
      </c>
      <c r="K701" s="36" t="s">
        <v>1194</v>
      </c>
      <c r="L701" s="37">
        <v>2375</v>
      </c>
      <c r="M701" s="271">
        <v>2375</v>
      </c>
      <c r="N701" s="34" t="s">
        <v>929</v>
      </c>
      <c r="O701" s="34" t="s">
        <v>1009</v>
      </c>
      <c r="P701" s="272" t="s">
        <v>1012</v>
      </c>
    </row>
    <row r="702" spans="1:16" x14ac:dyDescent="0.25">
      <c r="A702" s="270" t="s">
        <v>411</v>
      </c>
      <c r="B702" s="31" t="s">
        <v>410</v>
      </c>
      <c r="C702" s="31" t="s">
        <v>418</v>
      </c>
      <c r="D702" s="31" t="s">
        <v>438</v>
      </c>
      <c r="E702" s="31" t="s">
        <v>199</v>
      </c>
      <c r="F702" s="35" t="s">
        <v>440</v>
      </c>
      <c r="G702" s="33" t="s">
        <v>885</v>
      </c>
      <c r="H702" s="33" t="s">
        <v>603</v>
      </c>
      <c r="I702" s="36" t="s">
        <v>555</v>
      </c>
      <c r="J702" s="36" t="s">
        <v>875</v>
      </c>
      <c r="K702" s="36" t="s">
        <v>1196</v>
      </c>
      <c r="L702" s="37">
        <v>285</v>
      </c>
      <c r="M702" s="271">
        <v>285</v>
      </c>
      <c r="N702" s="34"/>
      <c r="O702" s="34" t="s">
        <v>1181</v>
      </c>
      <c r="P702" s="272" t="s">
        <v>1174</v>
      </c>
    </row>
    <row r="703" spans="1:16" x14ac:dyDescent="0.25">
      <c r="A703" s="270" t="s">
        <v>411</v>
      </c>
      <c r="B703" s="31" t="s">
        <v>410</v>
      </c>
      <c r="C703" s="31" t="s">
        <v>418</v>
      </c>
      <c r="D703" s="31" t="s">
        <v>438</v>
      </c>
      <c r="E703" s="31" t="s">
        <v>199</v>
      </c>
      <c r="F703" s="35" t="s">
        <v>440</v>
      </c>
      <c r="G703" s="33" t="s">
        <v>885</v>
      </c>
      <c r="H703" s="33" t="s">
        <v>603</v>
      </c>
      <c r="I703" s="36" t="s">
        <v>555</v>
      </c>
      <c r="J703" s="36" t="s">
        <v>875</v>
      </c>
      <c r="K703" s="36" t="s">
        <v>1196</v>
      </c>
      <c r="L703" s="37">
        <v>285</v>
      </c>
      <c r="M703" s="271">
        <v>285</v>
      </c>
      <c r="N703" s="34"/>
      <c r="O703" s="34" t="s">
        <v>1182</v>
      </c>
      <c r="P703" s="272" t="s">
        <v>1175</v>
      </c>
    </row>
    <row r="704" spans="1:16" x14ac:dyDescent="0.25">
      <c r="A704" s="270" t="s">
        <v>411</v>
      </c>
      <c r="B704" s="31" t="s">
        <v>410</v>
      </c>
      <c r="C704" s="31" t="s">
        <v>418</v>
      </c>
      <c r="D704" s="31" t="s">
        <v>438</v>
      </c>
      <c r="E704" s="31" t="s">
        <v>199</v>
      </c>
      <c r="F704" s="35" t="s">
        <v>440</v>
      </c>
      <c r="G704" s="33" t="s">
        <v>885</v>
      </c>
      <c r="H704" s="33" t="s">
        <v>603</v>
      </c>
      <c r="I704" s="36" t="s">
        <v>555</v>
      </c>
      <c r="J704" s="36" t="s">
        <v>875</v>
      </c>
      <c r="K704" s="36" t="s">
        <v>1045</v>
      </c>
      <c r="L704" s="37">
        <v>1710</v>
      </c>
      <c r="M704" s="271">
        <v>1710</v>
      </c>
      <c r="N704" s="34"/>
      <c r="O704" s="34" t="s">
        <v>1047</v>
      </c>
      <c r="P704" s="272" t="s">
        <v>1046</v>
      </c>
    </row>
    <row r="705" spans="1:16" x14ac:dyDescent="0.25">
      <c r="A705" s="270" t="s">
        <v>411</v>
      </c>
      <c r="B705" s="31" t="s">
        <v>410</v>
      </c>
      <c r="C705" s="31" t="s">
        <v>418</v>
      </c>
      <c r="D705" s="31" t="s">
        <v>438</v>
      </c>
      <c r="E705" s="31" t="s">
        <v>199</v>
      </c>
      <c r="F705" s="35" t="s">
        <v>440</v>
      </c>
      <c r="G705" s="33" t="s">
        <v>929</v>
      </c>
      <c r="H705" s="33" t="s">
        <v>602</v>
      </c>
      <c r="I705" s="36" t="s">
        <v>555</v>
      </c>
      <c r="J705" s="36" t="s">
        <v>875</v>
      </c>
      <c r="K705" s="36" t="s">
        <v>573</v>
      </c>
      <c r="L705" s="37">
        <v>760</v>
      </c>
      <c r="M705" s="271">
        <v>760</v>
      </c>
      <c r="N705" s="34" t="s">
        <v>929</v>
      </c>
      <c r="O705" s="34" t="s">
        <v>573</v>
      </c>
      <c r="P705" s="272" t="s">
        <v>954</v>
      </c>
    </row>
    <row r="706" spans="1:16" x14ac:dyDescent="0.25">
      <c r="A706" s="270" t="s">
        <v>411</v>
      </c>
      <c r="B706" s="31" t="s">
        <v>410</v>
      </c>
      <c r="C706" s="31" t="s">
        <v>418</v>
      </c>
      <c r="D706" s="31" t="s">
        <v>438</v>
      </c>
      <c r="E706" s="31" t="s">
        <v>199</v>
      </c>
      <c r="F706" s="35" t="s">
        <v>440</v>
      </c>
      <c r="G706" s="33" t="s">
        <v>929</v>
      </c>
      <c r="H706" s="33" t="s">
        <v>602</v>
      </c>
      <c r="I706" s="36" t="s">
        <v>555</v>
      </c>
      <c r="J706" s="36" t="s">
        <v>875</v>
      </c>
      <c r="K706" s="36" t="s">
        <v>950</v>
      </c>
      <c r="L706" s="37">
        <v>4940</v>
      </c>
      <c r="M706" s="271">
        <v>4940</v>
      </c>
      <c r="N706" s="34" t="s">
        <v>929</v>
      </c>
      <c r="O706" s="34" t="s">
        <v>950</v>
      </c>
      <c r="P706" s="272" t="s">
        <v>955</v>
      </c>
    </row>
    <row r="707" spans="1:16" x14ac:dyDescent="0.25">
      <c r="A707" s="270" t="s">
        <v>411</v>
      </c>
      <c r="B707" s="31" t="s">
        <v>410</v>
      </c>
      <c r="C707" s="31" t="s">
        <v>418</v>
      </c>
      <c r="D707" s="31" t="s">
        <v>438</v>
      </c>
      <c r="E707" s="31" t="s">
        <v>199</v>
      </c>
      <c r="F707" s="35" t="s">
        <v>440</v>
      </c>
      <c r="G707" s="33" t="s">
        <v>513</v>
      </c>
      <c r="H707" s="33" t="s">
        <v>603</v>
      </c>
      <c r="I707" s="36" t="s">
        <v>555</v>
      </c>
      <c r="J707" s="36" t="s">
        <v>875</v>
      </c>
      <c r="K707" s="36" t="s">
        <v>904</v>
      </c>
      <c r="L707" s="37">
        <v>6650</v>
      </c>
      <c r="M707" s="271">
        <v>6650</v>
      </c>
      <c r="N707" s="34"/>
      <c r="O707" s="34" t="s">
        <v>1052</v>
      </c>
      <c r="P707" s="272" t="s">
        <v>1051</v>
      </c>
    </row>
    <row r="708" spans="1:16" x14ac:dyDescent="0.25">
      <c r="A708" s="270" t="s">
        <v>411</v>
      </c>
      <c r="B708" s="31" t="s">
        <v>410</v>
      </c>
      <c r="C708" s="31" t="s">
        <v>418</v>
      </c>
      <c r="D708" s="31" t="s">
        <v>438</v>
      </c>
      <c r="E708" s="31" t="s">
        <v>199</v>
      </c>
      <c r="F708" s="35" t="s">
        <v>440</v>
      </c>
      <c r="G708" s="33" t="s">
        <v>527</v>
      </c>
      <c r="H708" s="33" t="s">
        <v>603</v>
      </c>
      <c r="I708" s="36" t="s">
        <v>555</v>
      </c>
      <c r="J708" s="36" t="s">
        <v>875</v>
      </c>
      <c r="K708" s="36" t="s">
        <v>518</v>
      </c>
      <c r="L708" s="37">
        <v>161405</v>
      </c>
      <c r="M708" s="271">
        <v>162000</v>
      </c>
      <c r="N708" s="34" t="s">
        <v>973</v>
      </c>
      <c r="O708" s="34" t="s">
        <v>974</v>
      </c>
      <c r="P708" s="272" t="s">
        <v>976</v>
      </c>
    </row>
    <row r="709" spans="1:16" x14ac:dyDescent="0.25">
      <c r="A709" s="270" t="s">
        <v>411</v>
      </c>
      <c r="B709" s="31" t="s">
        <v>410</v>
      </c>
      <c r="C709" s="31" t="s">
        <v>418</v>
      </c>
      <c r="D709" s="31" t="s">
        <v>438</v>
      </c>
      <c r="E709" s="31" t="s">
        <v>200</v>
      </c>
      <c r="F709" s="35" t="s">
        <v>441</v>
      </c>
      <c r="G709" s="33" t="s">
        <v>506</v>
      </c>
      <c r="H709" s="33" t="s">
        <v>603</v>
      </c>
      <c r="I709" s="36" t="s">
        <v>552</v>
      </c>
      <c r="J709" s="36" t="s">
        <v>580</v>
      </c>
      <c r="K709" s="36" t="s">
        <v>1056</v>
      </c>
      <c r="L709" s="37">
        <v>190</v>
      </c>
      <c r="M709" s="271">
        <v>190</v>
      </c>
      <c r="N709" s="34"/>
      <c r="O709" s="34" t="s">
        <v>1057</v>
      </c>
      <c r="P709" s="272" t="s">
        <v>1128</v>
      </c>
    </row>
    <row r="710" spans="1:16" x14ac:dyDescent="0.25">
      <c r="A710" s="270" t="s">
        <v>411</v>
      </c>
      <c r="B710" s="31" t="s">
        <v>410</v>
      </c>
      <c r="C710" s="31" t="s">
        <v>418</v>
      </c>
      <c r="D710" s="31" t="s">
        <v>438</v>
      </c>
      <c r="E710" s="31" t="s">
        <v>200</v>
      </c>
      <c r="F710" s="35" t="s">
        <v>441</v>
      </c>
      <c r="G710" s="33" t="s">
        <v>505</v>
      </c>
      <c r="H710" s="33" t="s">
        <v>603</v>
      </c>
      <c r="I710" s="36" t="s">
        <v>552</v>
      </c>
      <c r="J710" s="36" t="s">
        <v>580</v>
      </c>
      <c r="K710" s="36" t="s">
        <v>1056</v>
      </c>
      <c r="L710" s="37">
        <v>0</v>
      </c>
      <c r="M710" s="271">
        <v>0</v>
      </c>
      <c r="N710" s="34"/>
      <c r="O710" s="34" t="s">
        <v>1058</v>
      </c>
      <c r="P710" s="272" t="s">
        <v>1127</v>
      </c>
    </row>
    <row r="711" spans="1:16" x14ac:dyDescent="0.25">
      <c r="A711" s="270" t="s">
        <v>411</v>
      </c>
      <c r="B711" s="31" t="s">
        <v>410</v>
      </c>
      <c r="C711" s="31" t="s">
        <v>418</v>
      </c>
      <c r="D711" s="31" t="s">
        <v>438</v>
      </c>
      <c r="E711" s="31" t="s">
        <v>200</v>
      </c>
      <c r="F711" s="35" t="s">
        <v>441</v>
      </c>
      <c r="G711" s="33" t="s">
        <v>507</v>
      </c>
      <c r="H711" s="33" t="s">
        <v>603</v>
      </c>
      <c r="I711" s="36" t="s">
        <v>552</v>
      </c>
      <c r="J711" s="36" t="s">
        <v>580</v>
      </c>
      <c r="K711" s="36" t="s">
        <v>1056</v>
      </c>
      <c r="L711" s="37">
        <v>0</v>
      </c>
      <c r="M711" s="271">
        <v>0</v>
      </c>
      <c r="N711" s="34"/>
      <c r="O711" s="34" t="s">
        <v>1055</v>
      </c>
      <c r="P711" s="272" t="s">
        <v>1054</v>
      </c>
    </row>
    <row r="712" spans="1:16" x14ac:dyDescent="0.25">
      <c r="A712" s="270" t="s">
        <v>411</v>
      </c>
      <c r="B712" s="31" t="s">
        <v>410</v>
      </c>
      <c r="C712" s="31" t="s">
        <v>418</v>
      </c>
      <c r="D712" s="31" t="s">
        <v>438</v>
      </c>
      <c r="E712" s="31" t="s">
        <v>200</v>
      </c>
      <c r="F712" s="35" t="s">
        <v>441</v>
      </c>
      <c r="G712" s="33" t="s">
        <v>1136</v>
      </c>
      <c r="H712" s="33" t="s">
        <v>603</v>
      </c>
      <c r="I712" s="36" t="s">
        <v>552</v>
      </c>
      <c r="J712" s="36" t="s">
        <v>580</v>
      </c>
      <c r="K712" s="36" t="s">
        <v>503</v>
      </c>
      <c r="L712" s="37">
        <f>(1425+950)*2</f>
        <v>4750</v>
      </c>
      <c r="M712" s="271">
        <v>4750</v>
      </c>
      <c r="N712" s="34"/>
      <c r="O712" s="34" t="s">
        <v>1126</v>
      </c>
      <c r="P712" s="272" t="s">
        <v>1023</v>
      </c>
    </row>
    <row r="713" spans="1:16" x14ac:dyDescent="0.25">
      <c r="A713" s="270" t="s">
        <v>411</v>
      </c>
      <c r="B713" s="31" t="s">
        <v>410</v>
      </c>
      <c r="C713" s="31" t="s">
        <v>418</v>
      </c>
      <c r="D713" s="31" t="s">
        <v>438</v>
      </c>
      <c r="E713" s="31" t="s">
        <v>200</v>
      </c>
      <c r="F713" s="35" t="s">
        <v>441</v>
      </c>
      <c r="G713" s="33" t="s">
        <v>1130</v>
      </c>
      <c r="H713" s="33" t="s">
        <v>603</v>
      </c>
      <c r="I713" s="36" t="s">
        <v>552</v>
      </c>
      <c r="J713" s="36" t="s">
        <v>580</v>
      </c>
      <c r="K713" s="36" t="s">
        <v>504</v>
      </c>
      <c r="L713" s="37">
        <f>(1425+950)*2</f>
        <v>4750</v>
      </c>
      <c r="M713" s="271">
        <v>4750</v>
      </c>
      <c r="N713" s="34"/>
      <c r="O713" s="34" t="s">
        <v>1126</v>
      </c>
      <c r="P713" s="272" t="s">
        <v>1023</v>
      </c>
    </row>
    <row r="714" spans="1:16" x14ac:dyDescent="0.25">
      <c r="A714" s="270" t="s">
        <v>411</v>
      </c>
      <c r="B714" s="31" t="s">
        <v>410</v>
      </c>
      <c r="C714" s="31" t="s">
        <v>418</v>
      </c>
      <c r="D714" s="31" t="s">
        <v>438</v>
      </c>
      <c r="E714" s="31" t="s">
        <v>200</v>
      </c>
      <c r="F714" s="35" t="s">
        <v>441</v>
      </c>
      <c r="G714" s="33" t="s">
        <v>1130</v>
      </c>
      <c r="H714" s="33" t="s">
        <v>603</v>
      </c>
      <c r="I714" s="36" t="s">
        <v>552</v>
      </c>
      <c r="J714" s="36" t="s">
        <v>580</v>
      </c>
      <c r="K714" s="36" t="s">
        <v>505</v>
      </c>
      <c r="L714" s="37">
        <f>(1425+950)*2</f>
        <v>4750</v>
      </c>
      <c r="M714" s="271">
        <v>4750</v>
      </c>
      <c r="N714" s="34"/>
      <c r="O714" s="34" t="s">
        <v>1126</v>
      </c>
      <c r="P714" s="272" t="s">
        <v>1023</v>
      </c>
    </row>
    <row r="715" spans="1:16" x14ac:dyDescent="0.25">
      <c r="A715" s="270" t="s">
        <v>411</v>
      </c>
      <c r="B715" s="31" t="s">
        <v>410</v>
      </c>
      <c r="C715" s="31" t="s">
        <v>418</v>
      </c>
      <c r="D715" s="31" t="s">
        <v>438</v>
      </c>
      <c r="E715" s="31" t="s">
        <v>200</v>
      </c>
      <c r="F715" s="35" t="s">
        <v>441</v>
      </c>
      <c r="G715" s="33" t="s">
        <v>1124</v>
      </c>
      <c r="H715" s="33" t="s">
        <v>603</v>
      </c>
      <c r="I715" s="36" t="s">
        <v>552</v>
      </c>
      <c r="J715" s="36" t="s">
        <v>580</v>
      </c>
      <c r="K715" s="36" t="s">
        <v>505</v>
      </c>
      <c r="L715" s="37">
        <v>1900</v>
      </c>
      <c r="M715" s="271">
        <v>1900</v>
      </c>
      <c r="N715" s="34"/>
      <c r="O715" s="34" t="s">
        <v>1125</v>
      </c>
      <c r="P715" s="272" t="s">
        <v>1024</v>
      </c>
    </row>
    <row r="716" spans="1:16" x14ac:dyDescent="0.25">
      <c r="A716" s="270" t="s">
        <v>411</v>
      </c>
      <c r="B716" s="31" t="s">
        <v>410</v>
      </c>
      <c r="C716" s="31" t="s">
        <v>418</v>
      </c>
      <c r="D716" s="31" t="s">
        <v>438</v>
      </c>
      <c r="E716" s="31" t="s">
        <v>200</v>
      </c>
      <c r="F716" s="35" t="s">
        <v>441</v>
      </c>
      <c r="G716" s="33" t="s">
        <v>1137</v>
      </c>
      <c r="H716" s="33" t="s">
        <v>603</v>
      </c>
      <c r="I716" s="36" t="s">
        <v>552</v>
      </c>
      <c r="J716" s="36" t="s">
        <v>580</v>
      </c>
      <c r="K716" s="36" t="s">
        <v>506</v>
      </c>
      <c r="L716" s="37">
        <f>(1425+950)*2</f>
        <v>4750</v>
      </c>
      <c r="M716" s="271">
        <v>4750</v>
      </c>
      <c r="N716" s="34"/>
      <c r="O716" s="34" t="s">
        <v>1126</v>
      </c>
      <c r="P716" s="272" t="s">
        <v>1023</v>
      </c>
    </row>
    <row r="717" spans="1:16" x14ac:dyDescent="0.25">
      <c r="A717" s="270" t="s">
        <v>411</v>
      </c>
      <c r="B717" s="31" t="s">
        <v>410</v>
      </c>
      <c r="C717" s="31" t="s">
        <v>418</v>
      </c>
      <c r="D717" s="31" t="s">
        <v>438</v>
      </c>
      <c r="E717" s="31" t="s">
        <v>200</v>
      </c>
      <c r="F717" s="35" t="s">
        <v>441</v>
      </c>
      <c r="G717" s="33" t="s">
        <v>1140</v>
      </c>
      <c r="H717" s="33" t="s">
        <v>603</v>
      </c>
      <c r="I717" s="36" t="s">
        <v>552</v>
      </c>
      <c r="J717" s="36" t="s">
        <v>580</v>
      </c>
      <c r="K717" s="36" t="s">
        <v>507</v>
      </c>
      <c r="L717" s="37">
        <f>(1425+950)*2</f>
        <v>4750</v>
      </c>
      <c r="M717" s="271">
        <v>4750</v>
      </c>
      <c r="N717" s="34"/>
      <c r="O717" s="34" t="s">
        <v>1126</v>
      </c>
      <c r="P717" s="272" t="s">
        <v>1023</v>
      </c>
    </row>
    <row r="718" spans="1:16" x14ac:dyDescent="0.25">
      <c r="A718" s="270" t="s">
        <v>411</v>
      </c>
      <c r="B718" s="31" t="s">
        <v>410</v>
      </c>
      <c r="C718" s="31" t="s">
        <v>418</v>
      </c>
      <c r="D718" s="31" t="s">
        <v>438</v>
      </c>
      <c r="E718" s="31" t="s">
        <v>200</v>
      </c>
      <c r="F718" s="35" t="s">
        <v>441</v>
      </c>
      <c r="G718" s="33" t="s">
        <v>1154</v>
      </c>
      <c r="H718" s="33" t="s">
        <v>603</v>
      </c>
      <c r="I718" s="36" t="s">
        <v>552</v>
      </c>
      <c r="J718" s="36" t="s">
        <v>580</v>
      </c>
      <c r="K718" s="36" t="s">
        <v>502</v>
      </c>
      <c r="L718" s="37">
        <v>2090</v>
      </c>
      <c r="M718" s="271">
        <v>2090</v>
      </c>
      <c r="N718" s="34"/>
      <c r="O718" s="34" t="s">
        <v>502</v>
      </c>
      <c r="P718" s="272" t="s">
        <v>1155</v>
      </c>
    </row>
    <row r="719" spans="1:16" x14ac:dyDescent="0.25">
      <c r="A719" s="270" t="s">
        <v>411</v>
      </c>
      <c r="B719" s="31" t="s">
        <v>410</v>
      </c>
      <c r="C719" s="31" t="s">
        <v>418</v>
      </c>
      <c r="D719" s="31" t="s">
        <v>438</v>
      </c>
      <c r="E719" s="31" t="s">
        <v>200</v>
      </c>
      <c r="F719" s="35" t="s">
        <v>441</v>
      </c>
      <c r="G719" s="33" t="s">
        <v>1151</v>
      </c>
      <c r="H719" s="33" t="s">
        <v>603</v>
      </c>
      <c r="I719" s="36" t="s">
        <v>553</v>
      </c>
      <c r="J719" s="36" t="s">
        <v>581</v>
      </c>
      <c r="K719" s="36" t="s">
        <v>516</v>
      </c>
      <c r="L719" s="37">
        <v>570</v>
      </c>
      <c r="M719" s="271">
        <v>570</v>
      </c>
      <c r="N719" s="34"/>
      <c r="O719" s="34" t="s">
        <v>516</v>
      </c>
      <c r="P719" s="272" t="s">
        <v>1148</v>
      </c>
    </row>
    <row r="720" spans="1:16" x14ac:dyDescent="0.25">
      <c r="A720" s="270" t="s">
        <v>411</v>
      </c>
      <c r="B720" s="31" t="s">
        <v>410</v>
      </c>
      <c r="C720" s="31" t="s">
        <v>418</v>
      </c>
      <c r="D720" s="31" t="s">
        <v>438</v>
      </c>
      <c r="E720" s="31" t="s">
        <v>200</v>
      </c>
      <c r="F720" s="35" t="s">
        <v>441</v>
      </c>
      <c r="G720" s="33" t="s">
        <v>528</v>
      </c>
      <c r="H720" s="33" t="s">
        <v>603</v>
      </c>
      <c r="I720" s="36" t="s">
        <v>553</v>
      </c>
      <c r="J720" s="36" t="s">
        <v>581</v>
      </c>
      <c r="K720" s="36" t="s">
        <v>605</v>
      </c>
      <c r="L720" s="37">
        <v>1425</v>
      </c>
      <c r="M720" s="271">
        <v>1425</v>
      </c>
      <c r="N720" s="34"/>
      <c r="O720" s="34"/>
      <c r="P720" s="272" t="s">
        <v>1035</v>
      </c>
    </row>
    <row r="721" spans="1:16" x14ac:dyDescent="0.25">
      <c r="A721" s="270" t="s">
        <v>411</v>
      </c>
      <c r="B721" s="31" t="s">
        <v>410</v>
      </c>
      <c r="C721" s="31" t="s">
        <v>418</v>
      </c>
      <c r="D721" s="31" t="s">
        <v>438</v>
      </c>
      <c r="E721" s="31" t="s">
        <v>200</v>
      </c>
      <c r="F721" s="35" t="s">
        <v>441</v>
      </c>
      <c r="G721" s="33" t="s">
        <v>501</v>
      </c>
      <c r="H721" s="33" t="s">
        <v>603</v>
      </c>
      <c r="I721" s="36" t="s">
        <v>555</v>
      </c>
      <c r="J721" s="36" t="s">
        <v>577</v>
      </c>
      <c r="K721" s="36" t="s">
        <v>1059</v>
      </c>
      <c r="L721" s="37">
        <v>0</v>
      </c>
      <c r="M721" s="271">
        <v>0</v>
      </c>
      <c r="N721" s="34"/>
      <c r="O721" s="34" t="s">
        <v>1061</v>
      </c>
      <c r="P721" s="272" t="s">
        <v>1060</v>
      </c>
    </row>
    <row r="722" spans="1:16" x14ac:dyDescent="0.25">
      <c r="A722" s="270" t="s">
        <v>411</v>
      </c>
      <c r="B722" s="31" t="s">
        <v>410</v>
      </c>
      <c r="C722" s="31" t="s">
        <v>418</v>
      </c>
      <c r="D722" s="31" t="s">
        <v>438</v>
      </c>
      <c r="E722" s="31" t="s">
        <v>200</v>
      </c>
      <c r="F722" s="35" t="s">
        <v>441</v>
      </c>
      <c r="G722" s="33" t="s">
        <v>1082</v>
      </c>
      <c r="H722" s="33" t="s">
        <v>603</v>
      </c>
      <c r="I722" s="36" t="s">
        <v>555</v>
      </c>
      <c r="J722" s="36" t="s">
        <v>577</v>
      </c>
      <c r="K722" s="36" t="s">
        <v>1059</v>
      </c>
      <c r="L722" s="37">
        <v>190</v>
      </c>
      <c r="M722" s="271">
        <v>190</v>
      </c>
      <c r="N722" s="34"/>
      <c r="O722" s="34" t="s">
        <v>1083</v>
      </c>
      <c r="P722" s="272" t="s">
        <v>1085</v>
      </c>
    </row>
    <row r="723" spans="1:16" x14ac:dyDescent="0.25">
      <c r="A723" s="270" t="s">
        <v>411</v>
      </c>
      <c r="B723" s="31" t="s">
        <v>410</v>
      </c>
      <c r="C723" s="31" t="s">
        <v>418</v>
      </c>
      <c r="D723" s="31" t="s">
        <v>438</v>
      </c>
      <c r="E723" s="31" t="s">
        <v>200</v>
      </c>
      <c r="F723" s="35" t="s">
        <v>441</v>
      </c>
      <c r="G723" s="33" t="s">
        <v>1067</v>
      </c>
      <c r="H723" s="33" t="s">
        <v>603</v>
      </c>
      <c r="I723" s="36" t="s">
        <v>555</v>
      </c>
      <c r="J723" s="36" t="s">
        <v>577</v>
      </c>
      <c r="K723" s="36" t="s">
        <v>589</v>
      </c>
      <c r="L723" s="37">
        <v>0</v>
      </c>
      <c r="M723" s="271">
        <v>0</v>
      </c>
      <c r="N723" s="34"/>
      <c r="O723" s="34" t="s">
        <v>1076</v>
      </c>
      <c r="P723" s="272" t="s">
        <v>1075</v>
      </c>
    </row>
    <row r="724" spans="1:16" x14ac:dyDescent="0.25">
      <c r="A724" s="270" t="s">
        <v>411</v>
      </c>
      <c r="B724" s="31" t="s">
        <v>410</v>
      </c>
      <c r="C724" s="31" t="s">
        <v>418</v>
      </c>
      <c r="D724" s="31" t="s">
        <v>438</v>
      </c>
      <c r="E724" s="31" t="s">
        <v>200</v>
      </c>
      <c r="F724" s="35" t="s">
        <v>441</v>
      </c>
      <c r="G724" s="33" t="s">
        <v>1077</v>
      </c>
      <c r="H724" s="33" t="s">
        <v>603</v>
      </c>
      <c r="I724" s="36" t="s">
        <v>555</v>
      </c>
      <c r="J724" s="36" t="s">
        <v>577</v>
      </c>
      <c r="K724" s="36" t="s">
        <v>509</v>
      </c>
      <c r="L724" s="37">
        <v>7410</v>
      </c>
      <c r="M724" s="271">
        <v>7410</v>
      </c>
      <c r="N724" s="34"/>
      <c r="O724" s="34" t="s">
        <v>1078</v>
      </c>
      <c r="P724" s="272" t="s">
        <v>1081</v>
      </c>
    </row>
    <row r="725" spans="1:16" x14ac:dyDescent="0.25">
      <c r="A725" s="270" t="s">
        <v>411</v>
      </c>
      <c r="B725" s="31" t="s">
        <v>410</v>
      </c>
      <c r="C725" s="31" t="s">
        <v>418</v>
      </c>
      <c r="D725" s="31" t="s">
        <v>438</v>
      </c>
      <c r="E725" s="31" t="s">
        <v>200</v>
      </c>
      <c r="F725" s="35" t="s">
        <v>441</v>
      </c>
      <c r="G725" s="33" t="s">
        <v>1068</v>
      </c>
      <c r="H725" s="33" t="s">
        <v>603</v>
      </c>
      <c r="I725" s="36" t="s">
        <v>555</v>
      </c>
      <c r="J725" s="36" t="s">
        <v>577</v>
      </c>
      <c r="K725" s="36" t="s">
        <v>510</v>
      </c>
      <c r="L725" s="37">
        <v>570</v>
      </c>
      <c r="M725" s="271">
        <v>570</v>
      </c>
      <c r="N725" s="34"/>
      <c r="O725" s="34" t="s">
        <v>1070</v>
      </c>
      <c r="P725" s="272" t="s">
        <v>1072</v>
      </c>
    </row>
    <row r="726" spans="1:16" x14ac:dyDescent="0.25">
      <c r="A726" s="270" t="s">
        <v>411</v>
      </c>
      <c r="B726" s="31" t="s">
        <v>410</v>
      </c>
      <c r="C726" s="31" t="s">
        <v>418</v>
      </c>
      <c r="D726" s="31" t="s">
        <v>438</v>
      </c>
      <c r="E726" s="31" t="s">
        <v>200</v>
      </c>
      <c r="F726" s="35" t="s">
        <v>441</v>
      </c>
      <c r="G726" s="33" t="s">
        <v>1066</v>
      </c>
      <c r="H726" s="33" t="s">
        <v>603</v>
      </c>
      <c r="I726" s="36" t="s">
        <v>555</v>
      </c>
      <c r="J726" s="36" t="s">
        <v>577</v>
      </c>
      <c r="K726" s="36" t="s">
        <v>996</v>
      </c>
      <c r="L726" s="37">
        <v>15010</v>
      </c>
      <c r="M726" s="271">
        <v>15010</v>
      </c>
      <c r="N726" s="34"/>
      <c r="O726" s="34" t="s">
        <v>1063</v>
      </c>
      <c r="P726" s="272" t="s">
        <v>1065</v>
      </c>
    </row>
    <row r="727" spans="1:16" x14ac:dyDescent="0.25">
      <c r="A727" s="270" t="s">
        <v>411</v>
      </c>
      <c r="B727" s="31" t="s">
        <v>410</v>
      </c>
      <c r="C727" s="31" t="s">
        <v>418</v>
      </c>
      <c r="D727" s="31" t="s">
        <v>438</v>
      </c>
      <c r="E727" s="31" t="s">
        <v>200</v>
      </c>
      <c r="F727" s="35" t="s">
        <v>441</v>
      </c>
      <c r="G727" s="33" t="s">
        <v>554</v>
      </c>
      <c r="H727" s="33" t="s">
        <v>603</v>
      </c>
      <c r="I727" s="36" t="s">
        <v>555</v>
      </c>
      <c r="J727" s="36" t="s">
        <v>577</v>
      </c>
      <c r="K727" s="36" t="s">
        <v>554</v>
      </c>
      <c r="L727" s="37">
        <v>4275</v>
      </c>
      <c r="M727" s="271">
        <v>7600</v>
      </c>
      <c r="N727" s="34"/>
      <c r="O727" s="34" t="s">
        <v>554</v>
      </c>
      <c r="P727" s="272" t="s">
        <v>1193</v>
      </c>
    </row>
    <row r="728" spans="1:16" x14ac:dyDescent="0.25">
      <c r="A728" s="270" t="s">
        <v>411</v>
      </c>
      <c r="B728" s="31" t="s">
        <v>410</v>
      </c>
      <c r="C728" s="31" t="s">
        <v>418</v>
      </c>
      <c r="D728" s="31" t="s">
        <v>438</v>
      </c>
      <c r="E728" s="31" t="s">
        <v>200</v>
      </c>
      <c r="F728" s="35" t="s">
        <v>441</v>
      </c>
      <c r="G728" s="33" t="s">
        <v>1117</v>
      </c>
      <c r="H728" s="33" t="s">
        <v>603</v>
      </c>
      <c r="I728" s="36" t="s">
        <v>555</v>
      </c>
      <c r="J728" s="36" t="s">
        <v>578</v>
      </c>
      <c r="K728" s="36" t="s">
        <v>1118</v>
      </c>
      <c r="L728" s="37">
        <v>6460</v>
      </c>
      <c r="M728" s="271">
        <v>6460</v>
      </c>
      <c r="N728" s="34"/>
      <c r="O728" s="34" t="s">
        <v>1119</v>
      </c>
      <c r="P728" s="272" t="s">
        <v>1120</v>
      </c>
    </row>
    <row r="729" spans="1:16" x14ac:dyDescent="0.25">
      <c r="A729" s="270" t="s">
        <v>411</v>
      </c>
      <c r="B729" s="31" t="s">
        <v>410</v>
      </c>
      <c r="C729" s="31" t="s">
        <v>418</v>
      </c>
      <c r="D729" s="31" t="s">
        <v>438</v>
      </c>
      <c r="E729" s="31" t="s">
        <v>200</v>
      </c>
      <c r="F729" s="35" t="s">
        <v>441</v>
      </c>
      <c r="G729" s="33" t="s">
        <v>929</v>
      </c>
      <c r="H729" s="33" t="s">
        <v>602</v>
      </c>
      <c r="I729" s="36" t="s">
        <v>555</v>
      </c>
      <c r="J729" s="36" t="s">
        <v>578</v>
      </c>
      <c r="K729" s="36" t="s">
        <v>571</v>
      </c>
      <c r="L729" s="37">
        <v>3610</v>
      </c>
      <c r="M729" s="271">
        <v>3610</v>
      </c>
      <c r="N729" s="34" t="s">
        <v>929</v>
      </c>
      <c r="O729" s="34" t="s">
        <v>930</v>
      </c>
      <c r="P729" s="272" t="s">
        <v>928</v>
      </c>
    </row>
    <row r="730" spans="1:16" x14ac:dyDescent="0.25">
      <c r="A730" s="270" t="s">
        <v>411</v>
      </c>
      <c r="B730" s="31" t="s">
        <v>410</v>
      </c>
      <c r="C730" s="31" t="s">
        <v>418</v>
      </c>
      <c r="D730" s="31" t="s">
        <v>438</v>
      </c>
      <c r="E730" s="31" t="s">
        <v>200</v>
      </c>
      <c r="F730" s="35" t="s">
        <v>441</v>
      </c>
      <c r="G730" s="33" t="s">
        <v>1112</v>
      </c>
      <c r="H730" s="33" t="s">
        <v>603</v>
      </c>
      <c r="I730" s="36" t="s">
        <v>555</v>
      </c>
      <c r="J730" s="36" t="s">
        <v>578</v>
      </c>
      <c r="K730" s="36" t="s">
        <v>1113</v>
      </c>
      <c r="L730" s="37">
        <v>0</v>
      </c>
      <c r="M730" s="271">
        <v>0</v>
      </c>
      <c r="N730" s="34"/>
      <c r="O730" s="34" t="s">
        <v>1114</v>
      </c>
      <c r="P730" s="272" t="s">
        <v>1115</v>
      </c>
    </row>
    <row r="731" spans="1:16" x14ac:dyDescent="0.25">
      <c r="A731" s="270" t="s">
        <v>411</v>
      </c>
      <c r="B731" s="31" t="s">
        <v>410</v>
      </c>
      <c r="C731" s="31" t="s">
        <v>418</v>
      </c>
      <c r="D731" s="31" t="s">
        <v>438</v>
      </c>
      <c r="E731" s="31" t="s">
        <v>200</v>
      </c>
      <c r="F731" s="35" t="s">
        <v>441</v>
      </c>
      <c r="G731" s="33" t="s">
        <v>1092</v>
      </c>
      <c r="H731" s="33" t="s">
        <v>603</v>
      </c>
      <c r="I731" s="36" t="s">
        <v>555</v>
      </c>
      <c r="J731" s="36" t="s">
        <v>875</v>
      </c>
      <c r="K731" s="36" t="s">
        <v>1093</v>
      </c>
      <c r="L731" s="37">
        <v>380</v>
      </c>
      <c r="M731" s="271">
        <v>380</v>
      </c>
      <c r="N731" s="34"/>
      <c r="O731" s="34" t="s">
        <v>1094</v>
      </c>
      <c r="P731" s="272" t="s">
        <v>1095</v>
      </c>
    </row>
    <row r="732" spans="1:16" x14ac:dyDescent="0.25">
      <c r="A732" s="270" t="s">
        <v>411</v>
      </c>
      <c r="B732" s="31" t="s">
        <v>410</v>
      </c>
      <c r="C732" s="31" t="s">
        <v>418</v>
      </c>
      <c r="D732" s="31" t="s">
        <v>438</v>
      </c>
      <c r="E732" s="31" t="s">
        <v>200</v>
      </c>
      <c r="F732" s="35" t="s">
        <v>441</v>
      </c>
      <c r="G732" s="33" t="s">
        <v>1107</v>
      </c>
      <c r="H732" s="33" t="s">
        <v>603</v>
      </c>
      <c r="I732" s="36" t="s">
        <v>555</v>
      </c>
      <c r="J732" s="36" t="s">
        <v>875</v>
      </c>
      <c r="K732" s="36" t="s">
        <v>1093</v>
      </c>
      <c r="L732" s="37">
        <v>0</v>
      </c>
      <c r="M732" s="271">
        <v>0</v>
      </c>
      <c r="N732" s="34"/>
      <c r="O732" s="34" t="s">
        <v>1108</v>
      </c>
      <c r="P732" s="272" t="s">
        <v>1111</v>
      </c>
    </row>
    <row r="733" spans="1:16" x14ac:dyDescent="0.25">
      <c r="A733" s="270" t="s">
        <v>411</v>
      </c>
      <c r="B733" s="31" t="s">
        <v>410</v>
      </c>
      <c r="C733" s="31" t="s">
        <v>418</v>
      </c>
      <c r="D733" s="31" t="s">
        <v>438</v>
      </c>
      <c r="E733" s="31" t="s">
        <v>200</v>
      </c>
      <c r="F733" s="35" t="s">
        <v>441</v>
      </c>
      <c r="G733" s="33" t="s">
        <v>1092</v>
      </c>
      <c r="H733" s="33" t="s">
        <v>603</v>
      </c>
      <c r="I733" s="36" t="s">
        <v>555</v>
      </c>
      <c r="J733" s="36" t="s">
        <v>875</v>
      </c>
      <c r="K733" s="36" t="s">
        <v>1093</v>
      </c>
      <c r="L733" s="37">
        <v>190</v>
      </c>
      <c r="M733" s="271">
        <v>190</v>
      </c>
      <c r="N733" s="34"/>
      <c r="O733" s="34" t="s">
        <v>1096</v>
      </c>
      <c r="P733" s="272" t="s">
        <v>1098</v>
      </c>
    </row>
    <row r="734" spans="1:16" x14ac:dyDescent="0.25">
      <c r="A734" s="270" t="s">
        <v>411</v>
      </c>
      <c r="B734" s="31" t="s">
        <v>410</v>
      </c>
      <c r="C734" s="31" t="s">
        <v>418</v>
      </c>
      <c r="D734" s="31" t="s">
        <v>438</v>
      </c>
      <c r="E734" s="31" t="s">
        <v>200</v>
      </c>
      <c r="F734" s="35" t="s">
        <v>441</v>
      </c>
      <c r="G734" s="33" t="s">
        <v>1092</v>
      </c>
      <c r="H734" s="33" t="s">
        <v>603</v>
      </c>
      <c r="I734" s="36" t="s">
        <v>555</v>
      </c>
      <c r="J734" s="36" t="s">
        <v>875</v>
      </c>
      <c r="K734" s="36" t="s">
        <v>1093</v>
      </c>
      <c r="L734" s="37">
        <v>475</v>
      </c>
      <c r="M734" s="271">
        <v>475</v>
      </c>
      <c r="N734" s="34"/>
      <c r="O734" s="34" t="s">
        <v>1099</v>
      </c>
      <c r="P734" s="272" t="s">
        <v>1102</v>
      </c>
    </row>
    <row r="735" spans="1:16" x14ac:dyDescent="0.25">
      <c r="A735" s="270" t="s">
        <v>411</v>
      </c>
      <c r="B735" s="31" t="s">
        <v>410</v>
      </c>
      <c r="C735" s="31" t="s">
        <v>418</v>
      </c>
      <c r="D735" s="31" t="s">
        <v>438</v>
      </c>
      <c r="E735" s="31" t="s">
        <v>200</v>
      </c>
      <c r="F735" s="35" t="s">
        <v>441</v>
      </c>
      <c r="G735" s="33" t="s">
        <v>1166</v>
      </c>
      <c r="H735" s="33" t="s">
        <v>603</v>
      </c>
      <c r="I735" s="36" t="s">
        <v>555</v>
      </c>
      <c r="J735" s="36" t="s">
        <v>875</v>
      </c>
      <c r="K735" s="36" t="s">
        <v>519</v>
      </c>
      <c r="L735" s="37">
        <v>0</v>
      </c>
      <c r="M735" s="271">
        <v>0</v>
      </c>
      <c r="N735" s="34"/>
      <c r="O735" s="34" t="s">
        <v>1161</v>
      </c>
      <c r="P735" s="272" t="s">
        <v>1164</v>
      </c>
    </row>
    <row r="736" spans="1:16" x14ac:dyDescent="0.25">
      <c r="A736" s="270" t="s">
        <v>411</v>
      </c>
      <c r="B736" s="31" t="s">
        <v>410</v>
      </c>
      <c r="C736" s="31" t="s">
        <v>418</v>
      </c>
      <c r="D736" s="31" t="s">
        <v>438</v>
      </c>
      <c r="E736" s="31" t="s">
        <v>200</v>
      </c>
      <c r="F736" s="35" t="s">
        <v>441</v>
      </c>
      <c r="G736" s="33" t="s">
        <v>1147</v>
      </c>
      <c r="H736" s="33" t="s">
        <v>603</v>
      </c>
      <c r="I736" s="36" t="s">
        <v>555</v>
      </c>
      <c r="J736" s="36" t="s">
        <v>875</v>
      </c>
      <c r="K736" s="36" t="s">
        <v>517</v>
      </c>
      <c r="L736" s="37">
        <v>950</v>
      </c>
      <c r="M736" s="271">
        <v>950</v>
      </c>
      <c r="N736" s="34" t="s">
        <v>973</v>
      </c>
      <c r="O736" s="34" t="s">
        <v>1025</v>
      </c>
      <c r="P736" s="272" t="s">
        <v>1027</v>
      </c>
    </row>
    <row r="737" spans="1:16" x14ac:dyDescent="0.25">
      <c r="A737" s="270" t="s">
        <v>411</v>
      </c>
      <c r="B737" s="31" t="s">
        <v>410</v>
      </c>
      <c r="C737" s="31" t="s">
        <v>418</v>
      </c>
      <c r="D737" s="31" t="s">
        <v>438</v>
      </c>
      <c r="E737" s="31" t="s">
        <v>200</v>
      </c>
      <c r="F737" s="35" t="s">
        <v>441</v>
      </c>
      <c r="G737" s="33" t="s">
        <v>885</v>
      </c>
      <c r="H737" s="33" t="s">
        <v>603</v>
      </c>
      <c r="I737" s="36" t="s">
        <v>555</v>
      </c>
      <c r="J737" s="36" t="s">
        <v>875</v>
      </c>
      <c r="K737" s="36" t="s">
        <v>1195</v>
      </c>
      <c r="L737" s="37">
        <v>950</v>
      </c>
      <c r="M737" s="271">
        <v>950</v>
      </c>
      <c r="N737" s="34"/>
      <c r="O737" s="34" t="s">
        <v>1192</v>
      </c>
      <c r="P737" s="272" t="s">
        <v>1188</v>
      </c>
    </row>
    <row r="738" spans="1:16" x14ac:dyDescent="0.25">
      <c r="A738" s="270" t="s">
        <v>411</v>
      </c>
      <c r="B738" s="31" t="s">
        <v>410</v>
      </c>
      <c r="C738" s="31" t="s">
        <v>418</v>
      </c>
      <c r="D738" s="31" t="s">
        <v>438</v>
      </c>
      <c r="E738" s="31" t="s">
        <v>200</v>
      </c>
      <c r="F738" s="35" t="s">
        <v>441</v>
      </c>
      <c r="G738" s="33" t="s">
        <v>885</v>
      </c>
      <c r="H738" s="33" t="s">
        <v>603</v>
      </c>
      <c r="I738" s="36" t="s">
        <v>555</v>
      </c>
      <c r="J738" s="36" t="s">
        <v>875</v>
      </c>
      <c r="K738" s="36" t="s">
        <v>1194</v>
      </c>
      <c r="L738" s="37">
        <v>1330</v>
      </c>
      <c r="M738" s="271">
        <v>1330</v>
      </c>
      <c r="N738" s="34"/>
      <c r="O738" s="34" t="s">
        <v>1185</v>
      </c>
      <c r="P738" s="272" t="s">
        <v>1184</v>
      </c>
    </row>
    <row r="739" spans="1:16" x14ac:dyDescent="0.25">
      <c r="A739" s="270" t="s">
        <v>411</v>
      </c>
      <c r="B739" s="31" t="s">
        <v>410</v>
      </c>
      <c r="C739" s="31" t="s">
        <v>418</v>
      </c>
      <c r="D739" s="31" t="s">
        <v>438</v>
      </c>
      <c r="E739" s="31" t="s">
        <v>200</v>
      </c>
      <c r="F739" s="35" t="s">
        <v>441</v>
      </c>
      <c r="G739" s="33" t="s">
        <v>885</v>
      </c>
      <c r="H739" s="33" t="s">
        <v>603</v>
      </c>
      <c r="I739" s="36" t="s">
        <v>555</v>
      </c>
      <c r="J739" s="36" t="s">
        <v>875</v>
      </c>
      <c r="K739" s="36" t="s">
        <v>1196</v>
      </c>
      <c r="L739" s="37">
        <v>380</v>
      </c>
      <c r="M739" s="271">
        <v>380</v>
      </c>
      <c r="N739" s="34"/>
      <c r="O739" s="34" t="s">
        <v>1183</v>
      </c>
      <c r="P739" s="272" t="s">
        <v>1180</v>
      </c>
    </row>
    <row r="740" spans="1:16" x14ac:dyDescent="0.25">
      <c r="A740" s="270" t="s">
        <v>411</v>
      </c>
      <c r="B740" s="31" t="s">
        <v>410</v>
      </c>
      <c r="C740" s="31" t="s">
        <v>418</v>
      </c>
      <c r="D740" s="31" t="s">
        <v>438</v>
      </c>
      <c r="E740" s="31" t="s">
        <v>200</v>
      </c>
      <c r="F740" s="35" t="s">
        <v>441</v>
      </c>
      <c r="G740" s="33" t="s">
        <v>929</v>
      </c>
      <c r="H740" s="33" t="s">
        <v>602</v>
      </c>
      <c r="I740" s="36" t="s">
        <v>555</v>
      </c>
      <c r="J740" s="36" t="s">
        <v>875</v>
      </c>
      <c r="K740" s="36" t="s">
        <v>1194</v>
      </c>
      <c r="L740" s="37">
        <v>2850</v>
      </c>
      <c r="M740" s="271">
        <v>2850</v>
      </c>
      <c r="N740" s="34" t="s">
        <v>929</v>
      </c>
      <c r="O740" s="34" t="s">
        <v>1009</v>
      </c>
      <c r="P740" s="272" t="s">
        <v>1012</v>
      </c>
    </row>
    <row r="741" spans="1:16" x14ac:dyDescent="0.25">
      <c r="A741" s="270" t="s">
        <v>411</v>
      </c>
      <c r="B741" s="31" t="s">
        <v>410</v>
      </c>
      <c r="C741" s="31" t="s">
        <v>418</v>
      </c>
      <c r="D741" s="31" t="s">
        <v>438</v>
      </c>
      <c r="E741" s="31" t="s">
        <v>200</v>
      </c>
      <c r="F741" s="35" t="s">
        <v>441</v>
      </c>
      <c r="G741" s="33" t="s">
        <v>885</v>
      </c>
      <c r="H741" s="33" t="s">
        <v>603</v>
      </c>
      <c r="I741" s="36" t="s">
        <v>555</v>
      </c>
      <c r="J741" s="36" t="s">
        <v>875</v>
      </c>
      <c r="K741" s="36" t="s">
        <v>1196</v>
      </c>
      <c r="L741" s="37">
        <v>190</v>
      </c>
      <c r="M741" s="271">
        <v>190</v>
      </c>
      <c r="N741" s="34"/>
      <c r="O741" s="34" t="s">
        <v>1181</v>
      </c>
      <c r="P741" s="272" t="s">
        <v>1174</v>
      </c>
    </row>
    <row r="742" spans="1:16" x14ac:dyDescent="0.25">
      <c r="A742" s="270" t="s">
        <v>411</v>
      </c>
      <c r="B742" s="31" t="s">
        <v>410</v>
      </c>
      <c r="C742" s="31" t="s">
        <v>418</v>
      </c>
      <c r="D742" s="31" t="s">
        <v>438</v>
      </c>
      <c r="E742" s="31" t="s">
        <v>200</v>
      </c>
      <c r="F742" s="35" t="s">
        <v>441</v>
      </c>
      <c r="G742" s="33" t="s">
        <v>885</v>
      </c>
      <c r="H742" s="33" t="s">
        <v>603</v>
      </c>
      <c r="I742" s="36" t="s">
        <v>555</v>
      </c>
      <c r="J742" s="36" t="s">
        <v>875</v>
      </c>
      <c r="K742" s="36" t="s">
        <v>1196</v>
      </c>
      <c r="L742" s="37">
        <v>190</v>
      </c>
      <c r="M742" s="271">
        <v>190</v>
      </c>
      <c r="N742" s="34"/>
      <c r="O742" s="34" t="s">
        <v>1182</v>
      </c>
      <c r="P742" s="272" t="s">
        <v>1175</v>
      </c>
    </row>
    <row r="743" spans="1:16" x14ac:dyDescent="0.25">
      <c r="A743" s="270" t="s">
        <v>411</v>
      </c>
      <c r="B743" s="31" t="s">
        <v>410</v>
      </c>
      <c r="C743" s="31" t="s">
        <v>418</v>
      </c>
      <c r="D743" s="31" t="s">
        <v>438</v>
      </c>
      <c r="E743" s="31" t="s">
        <v>200</v>
      </c>
      <c r="F743" s="35" t="s">
        <v>441</v>
      </c>
      <c r="G743" s="33" t="s">
        <v>885</v>
      </c>
      <c r="H743" s="33" t="s">
        <v>603</v>
      </c>
      <c r="I743" s="36" t="s">
        <v>555</v>
      </c>
      <c r="J743" s="36" t="s">
        <v>875</v>
      </c>
      <c r="K743" s="36" t="s">
        <v>1044</v>
      </c>
      <c r="L743" s="37">
        <v>1900</v>
      </c>
      <c r="M743" s="271">
        <v>1900</v>
      </c>
      <c r="N743" s="34"/>
      <c r="O743" s="34" t="s">
        <v>1049</v>
      </c>
      <c r="P743" s="272" t="s">
        <v>1048</v>
      </c>
    </row>
    <row r="744" spans="1:16" x14ac:dyDescent="0.25">
      <c r="A744" s="270" t="s">
        <v>411</v>
      </c>
      <c r="B744" s="31" t="s">
        <v>410</v>
      </c>
      <c r="C744" s="31" t="s">
        <v>418</v>
      </c>
      <c r="D744" s="31" t="s">
        <v>438</v>
      </c>
      <c r="E744" s="31" t="s">
        <v>200</v>
      </c>
      <c r="F744" s="35" t="s">
        <v>441</v>
      </c>
      <c r="G744" s="33" t="s">
        <v>929</v>
      </c>
      <c r="H744" s="33" t="s">
        <v>602</v>
      </c>
      <c r="I744" s="36" t="s">
        <v>555</v>
      </c>
      <c r="J744" s="36" t="s">
        <v>875</v>
      </c>
      <c r="K744" s="36" t="s">
        <v>573</v>
      </c>
      <c r="L744" s="37">
        <v>570</v>
      </c>
      <c r="M744" s="271">
        <v>570</v>
      </c>
      <c r="N744" s="34" t="s">
        <v>929</v>
      </c>
      <c r="O744" s="34" t="s">
        <v>573</v>
      </c>
      <c r="P744" s="272" t="s">
        <v>954</v>
      </c>
    </row>
    <row r="745" spans="1:16" x14ac:dyDescent="0.25">
      <c r="A745" s="270" t="s">
        <v>411</v>
      </c>
      <c r="B745" s="31" t="s">
        <v>410</v>
      </c>
      <c r="C745" s="31" t="s">
        <v>418</v>
      </c>
      <c r="D745" s="31" t="s">
        <v>438</v>
      </c>
      <c r="E745" s="31" t="s">
        <v>200</v>
      </c>
      <c r="F745" s="35" t="s">
        <v>441</v>
      </c>
      <c r="G745" s="33" t="s">
        <v>929</v>
      </c>
      <c r="H745" s="33" t="s">
        <v>602</v>
      </c>
      <c r="I745" s="36" t="s">
        <v>555</v>
      </c>
      <c r="J745" s="36" t="s">
        <v>875</v>
      </c>
      <c r="K745" s="36" t="s">
        <v>950</v>
      </c>
      <c r="L745" s="37">
        <v>2185</v>
      </c>
      <c r="M745" s="271">
        <v>2185</v>
      </c>
      <c r="N745" s="34" t="s">
        <v>929</v>
      </c>
      <c r="O745" s="34" t="s">
        <v>950</v>
      </c>
      <c r="P745" s="272" t="s">
        <v>955</v>
      </c>
    </row>
    <row r="746" spans="1:16" x14ac:dyDescent="0.25">
      <c r="A746" s="270" t="s">
        <v>411</v>
      </c>
      <c r="B746" s="31" t="s">
        <v>410</v>
      </c>
      <c r="C746" s="31" t="s">
        <v>418</v>
      </c>
      <c r="D746" s="31" t="s">
        <v>438</v>
      </c>
      <c r="E746" s="31" t="s">
        <v>200</v>
      </c>
      <c r="F746" s="35" t="s">
        <v>441</v>
      </c>
      <c r="G746" s="33" t="s">
        <v>513</v>
      </c>
      <c r="H746" s="33" t="s">
        <v>603</v>
      </c>
      <c r="I746" s="36" t="s">
        <v>555</v>
      </c>
      <c r="J746" s="36" t="s">
        <v>875</v>
      </c>
      <c r="K746" s="36" t="s">
        <v>904</v>
      </c>
      <c r="L746" s="37">
        <v>6650</v>
      </c>
      <c r="M746" s="271">
        <v>6650</v>
      </c>
      <c r="N746" s="34"/>
      <c r="O746" s="34" t="s">
        <v>1052</v>
      </c>
      <c r="P746" s="272" t="s">
        <v>1051</v>
      </c>
    </row>
    <row r="747" spans="1:16" x14ac:dyDescent="0.25">
      <c r="A747" s="270" t="s">
        <v>411</v>
      </c>
      <c r="B747" s="31" t="s">
        <v>410</v>
      </c>
      <c r="C747" s="31" t="s">
        <v>418</v>
      </c>
      <c r="D747" s="31" t="s">
        <v>438</v>
      </c>
      <c r="E747" s="31" t="s">
        <v>200</v>
      </c>
      <c r="F747" s="35" t="s">
        <v>441</v>
      </c>
      <c r="G747" s="33" t="s">
        <v>527</v>
      </c>
      <c r="H747" s="33" t="s">
        <v>603</v>
      </c>
      <c r="I747" s="36" t="s">
        <v>555</v>
      </c>
      <c r="J747" s="36" t="s">
        <v>875</v>
      </c>
      <c r="K747" s="36" t="s">
        <v>518</v>
      </c>
      <c r="L747" s="37">
        <v>51300</v>
      </c>
      <c r="M747" s="271">
        <v>52000</v>
      </c>
      <c r="N747" s="34" t="s">
        <v>973</v>
      </c>
      <c r="O747" s="34" t="s">
        <v>974</v>
      </c>
      <c r="P747" s="272" t="s">
        <v>976</v>
      </c>
    </row>
    <row r="748" spans="1:16" x14ac:dyDescent="0.25">
      <c r="A748" s="270" t="s">
        <v>411</v>
      </c>
      <c r="B748" s="31" t="s">
        <v>410</v>
      </c>
      <c r="C748" s="31" t="s">
        <v>418</v>
      </c>
      <c r="D748" s="31" t="s">
        <v>600</v>
      </c>
      <c r="E748" s="31" t="s">
        <v>202</v>
      </c>
      <c r="F748" s="35" t="s">
        <v>442</v>
      </c>
      <c r="G748" s="33" t="s">
        <v>520</v>
      </c>
      <c r="H748" s="33" t="s">
        <v>603</v>
      </c>
      <c r="I748" s="36" t="s">
        <v>553</v>
      </c>
      <c r="J748" s="36" t="s">
        <v>881</v>
      </c>
      <c r="K748" s="36" t="s">
        <v>903</v>
      </c>
      <c r="L748" s="37">
        <v>800000</v>
      </c>
      <c r="M748" s="271">
        <v>800000</v>
      </c>
      <c r="N748" s="34"/>
      <c r="O748" s="34"/>
      <c r="P748" s="272" t="s">
        <v>989</v>
      </c>
    </row>
    <row r="749" spans="1:16" x14ac:dyDescent="0.25">
      <c r="A749" s="270" t="s">
        <v>411</v>
      </c>
      <c r="B749" s="31" t="s">
        <v>410</v>
      </c>
      <c r="C749" s="31" t="s">
        <v>418</v>
      </c>
      <c r="D749" s="31" t="s">
        <v>600</v>
      </c>
      <c r="E749" s="31" t="s">
        <v>202</v>
      </c>
      <c r="F749" s="35" t="s">
        <v>442</v>
      </c>
      <c r="G749" s="33" t="s">
        <v>489</v>
      </c>
      <c r="H749" s="33" t="s">
        <v>603</v>
      </c>
      <c r="I749" s="36" t="s">
        <v>555</v>
      </c>
      <c r="J749" s="36" t="s">
        <v>579</v>
      </c>
      <c r="K749" s="36" t="s">
        <v>587</v>
      </c>
      <c r="L749" s="37">
        <v>1500000</v>
      </c>
      <c r="M749" s="271">
        <v>1500000</v>
      </c>
      <c r="N749" s="34"/>
      <c r="O749" s="34"/>
      <c r="P749" s="272" t="s">
        <v>871</v>
      </c>
    </row>
    <row r="750" spans="1:16" x14ac:dyDescent="0.25">
      <c r="A750" s="270" t="s">
        <v>411</v>
      </c>
      <c r="B750" s="31" t="s">
        <v>410</v>
      </c>
      <c r="C750" s="31" t="s">
        <v>418</v>
      </c>
      <c r="D750" s="31" t="s">
        <v>600</v>
      </c>
      <c r="E750" s="31" t="s">
        <v>202</v>
      </c>
      <c r="F750" s="35" t="s">
        <v>442</v>
      </c>
      <c r="G750" s="33" t="s">
        <v>501</v>
      </c>
      <c r="H750" s="33" t="s">
        <v>603</v>
      </c>
      <c r="I750" s="36" t="s">
        <v>555</v>
      </c>
      <c r="J750" s="36" t="s">
        <v>577</v>
      </c>
      <c r="K750" s="36" t="s">
        <v>501</v>
      </c>
      <c r="L750" s="37">
        <v>450000</v>
      </c>
      <c r="M750" s="271">
        <v>450000</v>
      </c>
      <c r="N750" s="34"/>
      <c r="O750" s="34" t="s">
        <v>1017</v>
      </c>
      <c r="P750" s="272" t="s">
        <v>1018</v>
      </c>
    </row>
    <row r="751" spans="1:16" x14ac:dyDescent="0.25">
      <c r="A751" s="270" t="s">
        <v>411</v>
      </c>
      <c r="B751" s="31" t="s">
        <v>410</v>
      </c>
      <c r="C751" s="31" t="s">
        <v>418</v>
      </c>
      <c r="D751" s="31" t="s">
        <v>600</v>
      </c>
      <c r="E751" s="31" t="s">
        <v>203</v>
      </c>
      <c r="F751" s="35" t="s">
        <v>443</v>
      </c>
      <c r="G751" s="33" t="s">
        <v>535</v>
      </c>
      <c r="H751" s="33" t="s">
        <v>603</v>
      </c>
      <c r="I751" s="36" t="s">
        <v>553</v>
      </c>
      <c r="J751" s="36" t="s">
        <v>889</v>
      </c>
      <c r="K751" s="36" t="s">
        <v>584</v>
      </c>
      <c r="L751" s="37">
        <v>0</v>
      </c>
      <c r="M751" s="271">
        <v>0</v>
      </c>
      <c r="N751" s="34"/>
      <c r="O751" s="34"/>
      <c r="P751" s="272" t="s">
        <v>993</v>
      </c>
    </row>
    <row r="752" spans="1:16" x14ac:dyDescent="0.25">
      <c r="A752" s="270" t="s">
        <v>411</v>
      </c>
      <c r="B752" s="31" t="s">
        <v>410</v>
      </c>
      <c r="C752" s="31" t="s">
        <v>418</v>
      </c>
      <c r="D752" s="31" t="s">
        <v>600</v>
      </c>
      <c r="E752" s="31" t="s">
        <v>203</v>
      </c>
      <c r="F752" s="35" t="s">
        <v>443</v>
      </c>
      <c r="G752" s="33" t="s">
        <v>929</v>
      </c>
      <c r="H752" s="33" t="s">
        <v>602</v>
      </c>
      <c r="I752" s="36" t="s">
        <v>553</v>
      </c>
      <c r="J752" s="36" t="s">
        <v>582</v>
      </c>
      <c r="K752" s="36" t="s">
        <v>1006</v>
      </c>
      <c r="L752" s="37">
        <v>450000</v>
      </c>
      <c r="M752" s="271">
        <v>450000</v>
      </c>
      <c r="N752" s="34" t="s">
        <v>929</v>
      </c>
      <c r="O752" s="34" t="s">
        <v>1006</v>
      </c>
      <c r="P752" s="272" t="s">
        <v>1007</v>
      </c>
    </row>
    <row r="753" spans="1:16" x14ac:dyDescent="0.25">
      <c r="A753" s="270" t="s">
        <v>411</v>
      </c>
      <c r="B753" s="31" t="s">
        <v>410</v>
      </c>
      <c r="C753" s="31" t="s">
        <v>418</v>
      </c>
      <c r="D753" s="31" t="s">
        <v>600</v>
      </c>
      <c r="E753" s="31" t="s">
        <v>203</v>
      </c>
      <c r="F753" s="35" t="s">
        <v>443</v>
      </c>
      <c r="G753" s="33" t="s">
        <v>929</v>
      </c>
      <c r="H753" s="33" t="s">
        <v>602</v>
      </c>
      <c r="I753" s="36" t="s">
        <v>553</v>
      </c>
      <c r="J753" s="36" t="s">
        <v>881</v>
      </c>
      <c r="K753" s="36" t="s">
        <v>942</v>
      </c>
      <c r="L753" s="37">
        <v>1662000</v>
      </c>
      <c r="M753" s="271">
        <v>1662000</v>
      </c>
      <c r="N753" s="34" t="s">
        <v>929</v>
      </c>
      <c r="O753" s="34" t="s">
        <v>1005</v>
      </c>
      <c r="P753" s="272" t="s">
        <v>1013</v>
      </c>
    </row>
    <row r="754" spans="1:16" x14ac:dyDescent="0.25">
      <c r="A754" s="270" t="s">
        <v>411</v>
      </c>
      <c r="B754" s="31" t="s">
        <v>410</v>
      </c>
      <c r="C754" s="31" t="s">
        <v>418</v>
      </c>
      <c r="D754" s="31" t="s">
        <v>600</v>
      </c>
      <c r="E754" s="31" t="s">
        <v>203</v>
      </c>
      <c r="F754" s="35" t="s">
        <v>443</v>
      </c>
      <c r="G754" s="33" t="s">
        <v>929</v>
      </c>
      <c r="H754" s="33" t="s">
        <v>602</v>
      </c>
      <c r="I754" s="36" t="s">
        <v>555</v>
      </c>
      <c r="J754" s="36" t="s">
        <v>578</v>
      </c>
      <c r="K754" s="36" t="s">
        <v>998</v>
      </c>
      <c r="L754" s="37">
        <v>775000</v>
      </c>
      <c r="M754" s="271">
        <v>775000</v>
      </c>
      <c r="N754" s="34" t="s">
        <v>929</v>
      </c>
      <c r="O754" s="34" t="s">
        <v>998</v>
      </c>
      <c r="P754" s="272" t="s">
        <v>1219</v>
      </c>
    </row>
    <row r="755" spans="1:16" x14ac:dyDescent="0.25">
      <c r="A755" s="270" t="s">
        <v>411</v>
      </c>
      <c r="B755" s="31" t="s">
        <v>410</v>
      </c>
      <c r="C755" s="31" t="s">
        <v>418</v>
      </c>
      <c r="D755" s="31" t="s">
        <v>600</v>
      </c>
      <c r="E755" s="31" t="s">
        <v>203</v>
      </c>
      <c r="F755" s="35" t="s">
        <v>443</v>
      </c>
      <c r="G755" s="33" t="s">
        <v>1066</v>
      </c>
      <c r="H755" s="33" t="s">
        <v>603</v>
      </c>
      <c r="I755" s="36" t="s">
        <v>555</v>
      </c>
      <c r="J755" s="36" t="s">
        <v>577</v>
      </c>
      <c r="K755" s="36" t="s">
        <v>996</v>
      </c>
      <c r="L755" s="37">
        <v>5000</v>
      </c>
      <c r="M755" s="271">
        <v>5000</v>
      </c>
      <c r="N755" s="34"/>
      <c r="O755" s="34" t="s">
        <v>1063</v>
      </c>
      <c r="P755" s="272" t="s">
        <v>1153</v>
      </c>
    </row>
    <row r="756" spans="1:16" x14ac:dyDescent="0.25">
      <c r="A756" s="270" t="s">
        <v>411</v>
      </c>
      <c r="B756" s="31" t="s">
        <v>410</v>
      </c>
      <c r="C756" s="31" t="s">
        <v>418</v>
      </c>
      <c r="D756" s="31" t="s">
        <v>600</v>
      </c>
      <c r="E756" s="31" t="s">
        <v>203</v>
      </c>
      <c r="F756" s="35" t="s">
        <v>443</v>
      </c>
      <c r="G756" s="33" t="s">
        <v>929</v>
      </c>
      <c r="H756" s="33" t="s">
        <v>602</v>
      </c>
      <c r="I756" s="36" t="s">
        <v>555</v>
      </c>
      <c r="J756" s="36" t="s">
        <v>578</v>
      </c>
      <c r="K756" s="36" t="s">
        <v>571</v>
      </c>
      <c r="L756" s="37">
        <v>2000000</v>
      </c>
      <c r="M756" s="271">
        <v>2000000</v>
      </c>
      <c r="N756" s="34" t="s">
        <v>929</v>
      </c>
      <c r="O756" s="34" t="s">
        <v>930</v>
      </c>
      <c r="P756" s="272" t="s">
        <v>928</v>
      </c>
    </row>
    <row r="757" spans="1:16" x14ac:dyDescent="0.25">
      <c r="A757" s="270" t="s">
        <v>411</v>
      </c>
      <c r="B757" s="31" t="s">
        <v>410</v>
      </c>
      <c r="C757" s="31" t="s">
        <v>418</v>
      </c>
      <c r="D757" s="31" t="s">
        <v>600</v>
      </c>
      <c r="E757" s="31" t="s">
        <v>203</v>
      </c>
      <c r="F757" s="35" t="s">
        <v>443</v>
      </c>
      <c r="G757" s="33" t="s">
        <v>929</v>
      </c>
      <c r="H757" s="33" t="s">
        <v>602</v>
      </c>
      <c r="I757" s="36" t="s">
        <v>555</v>
      </c>
      <c r="J757" s="36" t="s">
        <v>578</v>
      </c>
      <c r="K757" s="36" t="s">
        <v>956</v>
      </c>
      <c r="L757" s="37">
        <v>1430000</v>
      </c>
      <c r="M757" s="271">
        <v>1430000</v>
      </c>
      <c r="N757" s="34" t="s">
        <v>929</v>
      </c>
      <c r="O757" s="34" t="s">
        <v>956</v>
      </c>
      <c r="P757" s="272" t="s">
        <v>957</v>
      </c>
    </row>
    <row r="758" spans="1:16" x14ac:dyDescent="0.25">
      <c r="A758" s="270" t="s">
        <v>411</v>
      </c>
      <c r="B758" s="31" t="s">
        <v>410</v>
      </c>
      <c r="C758" s="31" t="s">
        <v>418</v>
      </c>
      <c r="D758" s="31" t="s">
        <v>600</v>
      </c>
      <c r="E758" s="31" t="s">
        <v>204</v>
      </c>
      <c r="F758" s="35" t="s">
        <v>444</v>
      </c>
      <c r="G758" s="33" t="s">
        <v>501</v>
      </c>
      <c r="H758" s="33" t="s">
        <v>603</v>
      </c>
      <c r="I758" s="36" t="s">
        <v>555</v>
      </c>
      <c r="J758" s="36" t="s">
        <v>577</v>
      </c>
      <c r="K758" s="36" t="s">
        <v>1059</v>
      </c>
      <c r="L758" s="37">
        <f>5000+10000+5000</f>
        <v>20000</v>
      </c>
      <c r="M758" s="271">
        <v>20000</v>
      </c>
      <c r="N758" s="34"/>
      <c r="O758" s="34" t="s">
        <v>1061</v>
      </c>
      <c r="P758" s="272" t="s">
        <v>1062</v>
      </c>
    </row>
    <row r="759" spans="1:16" x14ac:dyDescent="0.25">
      <c r="A759" s="270" t="s">
        <v>411</v>
      </c>
      <c r="B759" s="31" t="s">
        <v>410</v>
      </c>
      <c r="C759" s="31" t="s">
        <v>418</v>
      </c>
      <c r="D759" s="31" t="s">
        <v>600</v>
      </c>
      <c r="E759" s="31" t="s">
        <v>204</v>
      </c>
      <c r="F759" s="35" t="s">
        <v>444</v>
      </c>
      <c r="G759" s="33" t="s">
        <v>876</v>
      </c>
      <c r="H759" s="33" t="s">
        <v>603</v>
      </c>
      <c r="I759" s="36" t="s">
        <v>555</v>
      </c>
      <c r="J759" s="36" t="s">
        <v>577</v>
      </c>
      <c r="K759" s="36" t="s">
        <v>1029</v>
      </c>
      <c r="L759" s="37">
        <v>15000</v>
      </c>
      <c r="M759" s="271">
        <v>15000</v>
      </c>
      <c r="N759" s="34"/>
      <c r="O759" s="34"/>
      <c r="P759" s="272" t="s">
        <v>1042</v>
      </c>
    </row>
    <row r="760" spans="1:16" x14ac:dyDescent="0.25">
      <c r="A760" s="270" t="s">
        <v>411</v>
      </c>
      <c r="B760" s="31" t="s">
        <v>410</v>
      </c>
      <c r="C760" s="31" t="s">
        <v>418</v>
      </c>
      <c r="D760" s="31" t="s">
        <v>600</v>
      </c>
      <c r="E760" s="31" t="s">
        <v>204</v>
      </c>
      <c r="F760" s="35" t="s">
        <v>444</v>
      </c>
      <c r="G760" s="33" t="s">
        <v>1117</v>
      </c>
      <c r="H760" s="33" t="s">
        <v>603</v>
      </c>
      <c r="I760" s="36" t="s">
        <v>555</v>
      </c>
      <c r="J760" s="36" t="s">
        <v>578</v>
      </c>
      <c r="K760" s="36" t="s">
        <v>1118</v>
      </c>
      <c r="L760" s="37">
        <v>240000</v>
      </c>
      <c r="M760" s="271">
        <v>240000</v>
      </c>
      <c r="N760" s="34"/>
      <c r="O760" s="34" t="s">
        <v>1119</v>
      </c>
      <c r="P760" s="272" t="s">
        <v>1120</v>
      </c>
    </row>
    <row r="761" spans="1:16" x14ac:dyDescent="0.25">
      <c r="A761" s="270" t="s">
        <v>411</v>
      </c>
      <c r="B761" s="31" t="s">
        <v>410</v>
      </c>
      <c r="C761" s="31" t="s">
        <v>418</v>
      </c>
      <c r="D761" s="31" t="s">
        <v>600</v>
      </c>
      <c r="E761" s="31" t="s">
        <v>205</v>
      </c>
      <c r="F761" s="35" t="s">
        <v>383</v>
      </c>
      <c r="G761" s="33" t="s">
        <v>929</v>
      </c>
      <c r="H761" s="33" t="s">
        <v>602</v>
      </c>
      <c r="I761" s="36" t="s">
        <v>553</v>
      </c>
      <c r="J761" s="36" t="s">
        <v>881</v>
      </c>
      <c r="K761" s="36" t="s">
        <v>942</v>
      </c>
      <c r="L761" s="37">
        <v>1808000</v>
      </c>
      <c r="M761" s="271">
        <v>1808000</v>
      </c>
      <c r="N761" s="34" t="s">
        <v>929</v>
      </c>
      <c r="O761" s="34" t="s">
        <v>1005</v>
      </c>
      <c r="P761" s="272" t="s">
        <v>1013</v>
      </c>
    </row>
    <row r="762" spans="1:16" x14ac:dyDescent="0.25">
      <c r="A762" s="270" t="s">
        <v>411</v>
      </c>
      <c r="B762" s="31" t="s">
        <v>410</v>
      </c>
      <c r="C762" s="31" t="s">
        <v>418</v>
      </c>
      <c r="D762" s="31" t="s">
        <v>600</v>
      </c>
      <c r="E762" s="31" t="s">
        <v>205</v>
      </c>
      <c r="F762" s="35" t="s">
        <v>383</v>
      </c>
      <c r="G762" s="33" t="s">
        <v>545</v>
      </c>
      <c r="H762" s="33" t="s">
        <v>603</v>
      </c>
      <c r="I762" s="36" t="s">
        <v>553</v>
      </c>
      <c r="J762" s="36" t="s">
        <v>881</v>
      </c>
      <c r="K762" s="36" t="s">
        <v>942</v>
      </c>
      <c r="L762" s="37">
        <f>(12*23217.95)+332184+74595</f>
        <v>685394.4</v>
      </c>
      <c r="M762" s="271">
        <v>685000</v>
      </c>
      <c r="N762" s="34" t="s">
        <v>939</v>
      </c>
      <c r="O762" s="34" t="s">
        <v>940</v>
      </c>
      <c r="P762" s="272" t="s">
        <v>941</v>
      </c>
    </row>
    <row r="763" spans="1:16" x14ac:dyDescent="0.25">
      <c r="A763" s="270" t="s">
        <v>411</v>
      </c>
      <c r="B763" s="31" t="s">
        <v>410</v>
      </c>
      <c r="C763" s="31" t="s">
        <v>418</v>
      </c>
      <c r="D763" s="31" t="s">
        <v>600</v>
      </c>
      <c r="E763" s="31" t="s">
        <v>205</v>
      </c>
      <c r="F763" s="35" t="s">
        <v>383</v>
      </c>
      <c r="G763" s="33" t="s">
        <v>583</v>
      </c>
      <c r="H763" s="33" t="s">
        <v>603</v>
      </c>
      <c r="I763" s="36" t="s">
        <v>553</v>
      </c>
      <c r="J763" s="36" t="s">
        <v>881</v>
      </c>
      <c r="K763" s="36" t="s">
        <v>943</v>
      </c>
      <c r="L763" s="37">
        <v>800000</v>
      </c>
      <c r="M763" s="271">
        <v>800000</v>
      </c>
      <c r="N763" s="34" t="s">
        <v>899</v>
      </c>
      <c r="O763" s="34" t="s">
        <v>898</v>
      </c>
      <c r="P763" s="272" t="s">
        <v>905</v>
      </c>
    </row>
    <row r="764" spans="1:16" x14ac:dyDescent="0.25">
      <c r="A764" s="270" t="s">
        <v>411</v>
      </c>
      <c r="B764" s="31" t="s">
        <v>410</v>
      </c>
      <c r="C764" s="31" t="s">
        <v>418</v>
      </c>
      <c r="D764" s="31" t="s">
        <v>600</v>
      </c>
      <c r="E764" s="31" t="s">
        <v>205</v>
      </c>
      <c r="F764" s="35" t="s">
        <v>383</v>
      </c>
      <c r="G764" s="33" t="s">
        <v>929</v>
      </c>
      <c r="H764" s="33" t="s">
        <v>602</v>
      </c>
      <c r="I764" s="36" t="s">
        <v>555</v>
      </c>
      <c r="J764" s="36" t="s">
        <v>578</v>
      </c>
      <c r="K764" s="36" t="s">
        <v>998</v>
      </c>
      <c r="L764" s="37">
        <v>1215000</v>
      </c>
      <c r="M764" s="271">
        <v>1215000</v>
      </c>
      <c r="N764" s="34" t="s">
        <v>929</v>
      </c>
      <c r="O764" s="34" t="s">
        <v>998</v>
      </c>
      <c r="P764" s="272" t="s">
        <v>1219</v>
      </c>
    </row>
    <row r="765" spans="1:16" x14ac:dyDescent="0.25">
      <c r="A765" s="270" t="s">
        <v>411</v>
      </c>
      <c r="B765" s="31" t="s">
        <v>410</v>
      </c>
      <c r="C765" s="31" t="s">
        <v>418</v>
      </c>
      <c r="D765" s="31" t="s">
        <v>600</v>
      </c>
      <c r="E765" s="31" t="s">
        <v>205</v>
      </c>
      <c r="F765" s="35" t="s">
        <v>383</v>
      </c>
      <c r="G765" s="33" t="s">
        <v>520</v>
      </c>
      <c r="H765" s="33" t="s">
        <v>603</v>
      </c>
      <c r="I765" s="36" t="s">
        <v>553</v>
      </c>
      <c r="J765" s="36" t="s">
        <v>881</v>
      </c>
      <c r="K765" s="36" t="s">
        <v>903</v>
      </c>
      <c r="L765" s="37">
        <v>65000</v>
      </c>
      <c r="M765" s="271">
        <v>65000</v>
      </c>
      <c r="N765" s="34"/>
      <c r="O765" s="34"/>
      <c r="P765" s="272" t="s">
        <v>860</v>
      </c>
    </row>
    <row r="766" spans="1:16" x14ac:dyDescent="0.25">
      <c r="A766" s="270" t="s">
        <v>411</v>
      </c>
      <c r="B766" s="31" t="s">
        <v>410</v>
      </c>
      <c r="C766" s="31" t="s">
        <v>418</v>
      </c>
      <c r="D766" s="31" t="s">
        <v>600</v>
      </c>
      <c r="E766" s="31" t="s">
        <v>205</v>
      </c>
      <c r="F766" s="35" t="s">
        <v>383</v>
      </c>
      <c r="G766" s="33" t="s">
        <v>520</v>
      </c>
      <c r="H766" s="33" t="s">
        <v>603</v>
      </c>
      <c r="I766" s="36" t="s">
        <v>553</v>
      </c>
      <c r="J766" s="36" t="s">
        <v>881</v>
      </c>
      <c r="K766" s="36" t="s">
        <v>903</v>
      </c>
      <c r="L766" s="37">
        <v>700000</v>
      </c>
      <c r="M766" s="271">
        <v>700000</v>
      </c>
      <c r="N766" s="34"/>
      <c r="O766" s="34"/>
      <c r="P766" s="272" t="s">
        <v>858</v>
      </c>
    </row>
    <row r="767" spans="1:16" x14ac:dyDescent="0.25">
      <c r="A767" s="270" t="s">
        <v>411</v>
      </c>
      <c r="B767" s="31" t="s">
        <v>410</v>
      </c>
      <c r="C767" s="31" t="s">
        <v>418</v>
      </c>
      <c r="D767" s="31" t="s">
        <v>600</v>
      </c>
      <c r="E767" s="31" t="s">
        <v>205</v>
      </c>
      <c r="F767" s="35" t="s">
        <v>383</v>
      </c>
      <c r="G767" s="33" t="s">
        <v>520</v>
      </c>
      <c r="H767" s="33" t="s">
        <v>603</v>
      </c>
      <c r="I767" s="36" t="s">
        <v>553</v>
      </c>
      <c r="J767" s="36" t="s">
        <v>881</v>
      </c>
      <c r="K767" s="36" t="s">
        <v>903</v>
      </c>
      <c r="L767" s="37">
        <v>205000</v>
      </c>
      <c r="M767" s="271">
        <v>205000</v>
      </c>
      <c r="N767" s="34"/>
      <c r="O767" s="34"/>
      <c r="P767" s="272" t="s">
        <v>521</v>
      </c>
    </row>
    <row r="768" spans="1:16" x14ac:dyDescent="0.25">
      <c r="A768" s="270" t="s">
        <v>411</v>
      </c>
      <c r="B768" s="31" t="s">
        <v>410</v>
      </c>
      <c r="C768" s="31" t="s">
        <v>418</v>
      </c>
      <c r="D768" s="31" t="s">
        <v>600</v>
      </c>
      <c r="E768" s="31" t="s">
        <v>205</v>
      </c>
      <c r="F768" s="35" t="s">
        <v>383</v>
      </c>
      <c r="G768" s="33" t="s">
        <v>520</v>
      </c>
      <c r="H768" s="33" t="s">
        <v>603</v>
      </c>
      <c r="I768" s="36" t="s">
        <v>553</v>
      </c>
      <c r="J768" s="36" t="s">
        <v>881</v>
      </c>
      <c r="K768" s="36" t="s">
        <v>903</v>
      </c>
      <c r="L768" s="37">
        <v>1387000</v>
      </c>
      <c r="M768" s="271">
        <v>1387000</v>
      </c>
      <c r="N768" s="34"/>
      <c r="O768" s="34"/>
      <c r="P768" s="272" t="s">
        <v>524</v>
      </c>
    </row>
    <row r="769" spans="1:16" x14ac:dyDescent="0.25">
      <c r="A769" s="270" t="s">
        <v>411</v>
      </c>
      <c r="B769" s="31" t="s">
        <v>410</v>
      </c>
      <c r="C769" s="31" t="s">
        <v>418</v>
      </c>
      <c r="D769" s="31" t="s">
        <v>600</v>
      </c>
      <c r="E769" s="31" t="s">
        <v>205</v>
      </c>
      <c r="F769" s="35" t="s">
        <v>383</v>
      </c>
      <c r="G769" s="33" t="s">
        <v>520</v>
      </c>
      <c r="H769" s="33" t="s">
        <v>603</v>
      </c>
      <c r="I769" s="36" t="s">
        <v>553</v>
      </c>
      <c r="J769" s="36" t="s">
        <v>881</v>
      </c>
      <c r="K769" s="36" t="s">
        <v>903</v>
      </c>
      <c r="L769" s="37">
        <v>860000</v>
      </c>
      <c r="M769" s="271">
        <v>860000</v>
      </c>
      <c r="N769" s="34"/>
      <c r="O769" s="34"/>
      <c r="P769" s="272" t="s">
        <v>862</v>
      </c>
    </row>
    <row r="770" spans="1:16" x14ac:dyDescent="0.25">
      <c r="A770" s="270" t="s">
        <v>411</v>
      </c>
      <c r="B770" s="31" t="s">
        <v>410</v>
      </c>
      <c r="C770" s="31" t="s">
        <v>418</v>
      </c>
      <c r="D770" s="31" t="s">
        <v>600</v>
      </c>
      <c r="E770" s="31" t="s">
        <v>205</v>
      </c>
      <c r="F770" s="35" t="s">
        <v>383</v>
      </c>
      <c r="G770" s="33" t="s">
        <v>520</v>
      </c>
      <c r="H770" s="33" t="s">
        <v>603</v>
      </c>
      <c r="I770" s="36" t="s">
        <v>553</v>
      </c>
      <c r="J770" s="36" t="s">
        <v>881</v>
      </c>
      <c r="K770" s="36" t="s">
        <v>903</v>
      </c>
      <c r="L770" s="37">
        <v>405000</v>
      </c>
      <c r="M770" s="271">
        <v>405000</v>
      </c>
      <c r="N770" s="34"/>
      <c r="O770" s="34"/>
      <c r="P770" s="272" t="s">
        <v>863</v>
      </c>
    </row>
    <row r="771" spans="1:16" x14ac:dyDescent="0.25">
      <c r="A771" s="270" t="s">
        <v>411</v>
      </c>
      <c r="B771" s="31" t="s">
        <v>410</v>
      </c>
      <c r="C771" s="31" t="s">
        <v>418</v>
      </c>
      <c r="D771" s="31" t="s">
        <v>600</v>
      </c>
      <c r="E771" s="31" t="s">
        <v>205</v>
      </c>
      <c r="F771" s="35" t="s">
        <v>383</v>
      </c>
      <c r="G771" s="33" t="s">
        <v>520</v>
      </c>
      <c r="H771" s="33" t="s">
        <v>603</v>
      </c>
      <c r="I771" s="36" t="s">
        <v>553</v>
      </c>
      <c r="J771" s="36" t="s">
        <v>881</v>
      </c>
      <c r="K771" s="36" t="s">
        <v>903</v>
      </c>
      <c r="L771" s="37">
        <v>1800000</v>
      </c>
      <c r="M771" s="271">
        <v>1800000</v>
      </c>
      <c r="N771" s="34"/>
      <c r="O771" s="34"/>
      <c r="P771" s="272" t="s">
        <v>859</v>
      </c>
    </row>
    <row r="772" spans="1:16" x14ac:dyDescent="0.25">
      <c r="A772" s="270" t="s">
        <v>411</v>
      </c>
      <c r="B772" s="31" t="s">
        <v>410</v>
      </c>
      <c r="C772" s="31" t="s">
        <v>418</v>
      </c>
      <c r="D772" s="31" t="s">
        <v>600</v>
      </c>
      <c r="E772" s="31" t="s">
        <v>205</v>
      </c>
      <c r="F772" s="35" t="s">
        <v>383</v>
      </c>
      <c r="G772" s="33" t="s">
        <v>520</v>
      </c>
      <c r="H772" s="33" t="s">
        <v>603</v>
      </c>
      <c r="I772" s="36" t="s">
        <v>553</v>
      </c>
      <c r="J772" s="36" t="s">
        <v>881</v>
      </c>
      <c r="K772" s="36" t="s">
        <v>903</v>
      </c>
      <c r="L772" s="37">
        <v>500000</v>
      </c>
      <c r="M772" s="271">
        <v>500000</v>
      </c>
      <c r="N772" s="34"/>
      <c r="O772" s="34"/>
      <c r="P772" s="272" t="s">
        <v>864</v>
      </c>
    </row>
    <row r="773" spans="1:16" x14ac:dyDescent="0.25">
      <c r="A773" s="270" t="s">
        <v>411</v>
      </c>
      <c r="B773" s="31" t="s">
        <v>410</v>
      </c>
      <c r="C773" s="31" t="s">
        <v>418</v>
      </c>
      <c r="D773" s="31" t="s">
        <v>600</v>
      </c>
      <c r="E773" s="31" t="s">
        <v>205</v>
      </c>
      <c r="F773" s="35" t="s">
        <v>383</v>
      </c>
      <c r="G773" s="33" t="s">
        <v>520</v>
      </c>
      <c r="H773" s="33" t="s">
        <v>603</v>
      </c>
      <c r="I773" s="36" t="s">
        <v>553</v>
      </c>
      <c r="J773" s="36" t="s">
        <v>881</v>
      </c>
      <c r="K773" s="36" t="s">
        <v>903</v>
      </c>
      <c r="L773" s="37">
        <v>1000000</v>
      </c>
      <c r="M773" s="271">
        <v>1000000</v>
      </c>
      <c r="N773" s="34"/>
      <c r="O773" s="34"/>
      <c r="P773" s="272" t="s">
        <v>865</v>
      </c>
    </row>
    <row r="774" spans="1:16" x14ac:dyDescent="0.25">
      <c r="A774" s="270" t="s">
        <v>411</v>
      </c>
      <c r="B774" s="31" t="s">
        <v>410</v>
      </c>
      <c r="C774" s="31" t="s">
        <v>418</v>
      </c>
      <c r="D774" s="31" t="s">
        <v>600</v>
      </c>
      <c r="E774" s="31" t="s">
        <v>205</v>
      </c>
      <c r="F774" s="35" t="s">
        <v>383</v>
      </c>
      <c r="G774" s="33" t="s">
        <v>520</v>
      </c>
      <c r="H774" s="33" t="s">
        <v>603</v>
      </c>
      <c r="I774" s="36" t="s">
        <v>553</v>
      </c>
      <c r="J774" s="36" t="s">
        <v>881</v>
      </c>
      <c r="K774" s="36" t="s">
        <v>903</v>
      </c>
      <c r="L774" s="37">
        <v>4500000</v>
      </c>
      <c r="M774" s="271">
        <v>4500000</v>
      </c>
      <c r="N774" s="34"/>
      <c r="O774" s="34" t="s">
        <v>979</v>
      </c>
      <c r="P774" s="272" t="s">
        <v>977</v>
      </c>
    </row>
    <row r="775" spans="1:16" x14ac:dyDescent="0.25">
      <c r="A775" s="270" t="s">
        <v>411</v>
      </c>
      <c r="B775" s="31" t="s">
        <v>410</v>
      </c>
      <c r="C775" s="31" t="s">
        <v>418</v>
      </c>
      <c r="D775" s="31" t="s">
        <v>600</v>
      </c>
      <c r="E775" s="31" t="s">
        <v>205</v>
      </c>
      <c r="F775" s="35" t="s">
        <v>383</v>
      </c>
      <c r="G775" s="33" t="s">
        <v>520</v>
      </c>
      <c r="H775" s="33" t="s">
        <v>603</v>
      </c>
      <c r="I775" s="36" t="s">
        <v>553</v>
      </c>
      <c r="J775" s="36" t="s">
        <v>881</v>
      </c>
      <c r="K775" s="36" t="s">
        <v>903</v>
      </c>
      <c r="L775" s="37">
        <v>2000000</v>
      </c>
      <c r="M775" s="271">
        <v>2000000</v>
      </c>
      <c r="N775" s="34"/>
      <c r="O775" s="34" t="s">
        <v>979</v>
      </c>
      <c r="P775" s="272" t="s">
        <v>978</v>
      </c>
    </row>
    <row r="776" spans="1:16" x14ac:dyDescent="0.25">
      <c r="A776" s="270" t="s">
        <v>411</v>
      </c>
      <c r="B776" s="31" t="s">
        <v>410</v>
      </c>
      <c r="C776" s="31" t="s">
        <v>418</v>
      </c>
      <c r="D776" s="31" t="s">
        <v>600</v>
      </c>
      <c r="E776" s="31" t="s">
        <v>205</v>
      </c>
      <c r="F776" s="35" t="s">
        <v>383</v>
      </c>
      <c r="G776" s="33" t="s">
        <v>520</v>
      </c>
      <c r="H776" s="33" t="s">
        <v>603</v>
      </c>
      <c r="I776" s="36" t="s">
        <v>553</v>
      </c>
      <c r="J776" s="36" t="s">
        <v>881</v>
      </c>
      <c r="K776" s="36" t="s">
        <v>903</v>
      </c>
      <c r="L776" s="37">
        <v>350000</v>
      </c>
      <c r="M776" s="271">
        <v>350000</v>
      </c>
      <c r="N776" s="34"/>
      <c r="O776" s="34" t="s">
        <v>979</v>
      </c>
      <c r="P776" s="272" t="s">
        <v>980</v>
      </c>
    </row>
    <row r="777" spans="1:16" x14ac:dyDescent="0.25">
      <c r="A777" s="270" t="s">
        <v>411</v>
      </c>
      <c r="B777" s="31" t="s">
        <v>410</v>
      </c>
      <c r="C777" s="31" t="s">
        <v>418</v>
      </c>
      <c r="D777" s="31" t="s">
        <v>600</v>
      </c>
      <c r="E777" s="31" t="s">
        <v>205</v>
      </c>
      <c r="F777" s="35" t="s">
        <v>383</v>
      </c>
      <c r="G777" s="33" t="s">
        <v>520</v>
      </c>
      <c r="H777" s="33" t="s">
        <v>603</v>
      </c>
      <c r="I777" s="36" t="s">
        <v>553</v>
      </c>
      <c r="J777" s="36" t="s">
        <v>881</v>
      </c>
      <c r="K777" s="36" t="s">
        <v>903</v>
      </c>
      <c r="L777" s="37">
        <v>100000</v>
      </c>
      <c r="M777" s="271">
        <v>100000</v>
      </c>
      <c r="N777" s="34"/>
      <c r="O777" s="34" t="s">
        <v>979</v>
      </c>
      <c r="P777" s="272" t="s">
        <v>987</v>
      </c>
    </row>
    <row r="778" spans="1:16" x14ac:dyDescent="0.25">
      <c r="A778" s="270" t="s">
        <v>411</v>
      </c>
      <c r="B778" s="31" t="s">
        <v>410</v>
      </c>
      <c r="C778" s="31" t="s">
        <v>418</v>
      </c>
      <c r="D778" s="31" t="s">
        <v>600</v>
      </c>
      <c r="E778" s="31" t="s">
        <v>205</v>
      </c>
      <c r="F778" s="35" t="s">
        <v>383</v>
      </c>
      <c r="G778" s="33" t="s">
        <v>520</v>
      </c>
      <c r="H778" s="33" t="s">
        <v>603</v>
      </c>
      <c r="I778" s="36" t="s">
        <v>553</v>
      </c>
      <c r="J778" s="36" t="s">
        <v>881</v>
      </c>
      <c r="K778" s="36" t="s">
        <v>903</v>
      </c>
      <c r="L778" s="37">
        <v>900000</v>
      </c>
      <c r="M778" s="271">
        <v>900000</v>
      </c>
      <c r="N778" s="34"/>
      <c r="O778" s="34" t="s">
        <v>979</v>
      </c>
      <c r="P778" s="272" t="s">
        <v>981</v>
      </c>
    </row>
    <row r="779" spans="1:16" x14ac:dyDescent="0.25">
      <c r="A779" s="270" t="s">
        <v>411</v>
      </c>
      <c r="B779" s="31" t="s">
        <v>410</v>
      </c>
      <c r="C779" s="31" t="s">
        <v>418</v>
      </c>
      <c r="D779" s="31" t="s">
        <v>600</v>
      </c>
      <c r="E779" s="31" t="s">
        <v>205</v>
      </c>
      <c r="F779" s="35" t="s">
        <v>383</v>
      </c>
      <c r="G779" s="33" t="s">
        <v>520</v>
      </c>
      <c r="H779" s="33" t="s">
        <v>603</v>
      </c>
      <c r="I779" s="36" t="s">
        <v>553</v>
      </c>
      <c r="J779" s="36" t="s">
        <v>881</v>
      </c>
      <c r="K779" s="36" t="s">
        <v>903</v>
      </c>
      <c r="L779" s="37">
        <v>900000</v>
      </c>
      <c r="M779" s="271">
        <v>900000</v>
      </c>
      <c r="N779" s="34"/>
      <c r="O779" s="34" t="s">
        <v>979</v>
      </c>
      <c r="P779" s="272" t="s">
        <v>982</v>
      </c>
    </row>
    <row r="780" spans="1:16" x14ac:dyDescent="0.25">
      <c r="A780" s="270" t="s">
        <v>411</v>
      </c>
      <c r="B780" s="31" t="s">
        <v>410</v>
      </c>
      <c r="C780" s="31" t="s">
        <v>418</v>
      </c>
      <c r="D780" s="31" t="s">
        <v>600</v>
      </c>
      <c r="E780" s="31" t="s">
        <v>205</v>
      </c>
      <c r="F780" s="35" t="s">
        <v>383</v>
      </c>
      <c r="G780" s="33" t="s">
        <v>520</v>
      </c>
      <c r="H780" s="33" t="s">
        <v>603</v>
      </c>
      <c r="I780" s="36" t="s">
        <v>553</v>
      </c>
      <c r="J780" s="36" t="s">
        <v>881</v>
      </c>
      <c r="K780" s="36" t="s">
        <v>903</v>
      </c>
      <c r="L780" s="37">
        <v>200000</v>
      </c>
      <c r="M780" s="271">
        <v>200000</v>
      </c>
      <c r="N780" s="34"/>
      <c r="O780" s="34" t="s">
        <v>979</v>
      </c>
      <c r="P780" s="272" t="s">
        <v>983</v>
      </c>
    </row>
    <row r="781" spans="1:16" x14ac:dyDescent="0.25">
      <c r="A781" s="270" t="s">
        <v>411</v>
      </c>
      <c r="B781" s="31" t="s">
        <v>410</v>
      </c>
      <c r="C781" s="31" t="s">
        <v>418</v>
      </c>
      <c r="D781" s="31" t="s">
        <v>600</v>
      </c>
      <c r="E781" s="31" t="s">
        <v>205</v>
      </c>
      <c r="F781" s="35" t="s">
        <v>383</v>
      </c>
      <c r="G781" s="33" t="s">
        <v>520</v>
      </c>
      <c r="H781" s="33" t="s">
        <v>603</v>
      </c>
      <c r="I781" s="36" t="s">
        <v>553</v>
      </c>
      <c r="J781" s="36" t="s">
        <v>881</v>
      </c>
      <c r="K781" s="36" t="s">
        <v>903</v>
      </c>
      <c r="L781" s="37">
        <v>1400000</v>
      </c>
      <c r="M781" s="271">
        <v>1400000</v>
      </c>
      <c r="N781" s="34"/>
      <c r="O781" s="34" t="s">
        <v>979</v>
      </c>
      <c r="P781" s="272" t="s">
        <v>984</v>
      </c>
    </row>
    <row r="782" spans="1:16" x14ac:dyDescent="0.25">
      <c r="A782" s="270" t="s">
        <v>411</v>
      </c>
      <c r="B782" s="31" t="s">
        <v>410</v>
      </c>
      <c r="C782" s="31" t="s">
        <v>418</v>
      </c>
      <c r="D782" s="31" t="s">
        <v>600</v>
      </c>
      <c r="E782" s="31" t="s">
        <v>205</v>
      </c>
      <c r="F782" s="35" t="s">
        <v>383</v>
      </c>
      <c r="G782" s="33" t="s">
        <v>520</v>
      </c>
      <c r="H782" s="33" t="s">
        <v>603</v>
      </c>
      <c r="I782" s="36" t="s">
        <v>553</v>
      </c>
      <c r="J782" s="36" t="s">
        <v>881</v>
      </c>
      <c r="K782" s="36" t="s">
        <v>903</v>
      </c>
      <c r="L782" s="37">
        <v>2500000</v>
      </c>
      <c r="M782" s="271">
        <v>2500000</v>
      </c>
      <c r="N782" s="34"/>
      <c r="O782" s="34" t="s">
        <v>979</v>
      </c>
      <c r="P782" s="272" t="s">
        <v>985</v>
      </c>
    </row>
    <row r="783" spans="1:16" x14ac:dyDescent="0.25">
      <c r="A783" s="270" t="s">
        <v>411</v>
      </c>
      <c r="B783" s="31" t="s">
        <v>410</v>
      </c>
      <c r="C783" s="31" t="s">
        <v>418</v>
      </c>
      <c r="D783" s="31" t="s">
        <v>600</v>
      </c>
      <c r="E783" s="31" t="s">
        <v>205</v>
      </c>
      <c r="F783" s="35" t="s">
        <v>383</v>
      </c>
      <c r="G783" s="33" t="s">
        <v>520</v>
      </c>
      <c r="H783" s="33" t="s">
        <v>603</v>
      </c>
      <c r="I783" s="36" t="s">
        <v>553</v>
      </c>
      <c r="J783" s="36" t="s">
        <v>881</v>
      </c>
      <c r="K783" s="36" t="s">
        <v>903</v>
      </c>
      <c r="L783" s="37">
        <v>400000</v>
      </c>
      <c r="M783" s="271">
        <v>400000</v>
      </c>
      <c r="N783" s="34"/>
      <c r="O783" s="34" t="s">
        <v>979</v>
      </c>
      <c r="P783" s="272" t="s">
        <v>986</v>
      </c>
    </row>
    <row r="784" spans="1:16" x14ac:dyDescent="0.25">
      <c r="A784" s="270" t="s">
        <v>411</v>
      </c>
      <c r="B784" s="31" t="s">
        <v>410</v>
      </c>
      <c r="C784" s="31" t="s">
        <v>418</v>
      </c>
      <c r="D784" s="31" t="s">
        <v>600</v>
      </c>
      <c r="E784" s="31" t="s">
        <v>205</v>
      </c>
      <c r="F784" s="35" t="s">
        <v>383</v>
      </c>
      <c r="G784" s="33" t="s">
        <v>499</v>
      </c>
      <c r="H784" s="33" t="s">
        <v>603</v>
      </c>
      <c r="I784" s="36" t="s">
        <v>553</v>
      </c>
      <c r="J784" s="36" t="s">
        <v>881</v>
      </c>
      <c r="K784" s="36" t="s">
        <v>944</v>
      </c>
      <c r="L784" s="37">
        <v>4894.8</v>
      </c>
      <c r="M784" s="271">
        <v>5000</v>
      </c>
      <c r="N784" s="34"/>
      <c r="O784" s="34"/>
      <c r="P784" s="272" t="s">
        <v>531</v>
      </c>
    </row>
    <row r="785" spans="1:16" x14ac:dyDescent="0.25">
      <c r="A785" s="270" t="s">
        <v>411</v>
      </c>
      <c r="B785" s="31" t="s">
        <v>410</v>
      </c>
      <c r="C785" s="31" t="s">
        <v>418</v>
      </c>
      <c r="D785" s="31" t="s">
        <v>600</v>
      </c>
      <c r="E785" s="31" t="s">
        <v>205</v>
      </c>
      <c r="F785" s="35" t="s">
        <v>383</v>
      </c>
      <c r="G785" s="33" t="s">
        <v>498</v>
      </c>
      <c r="H785" s="33" t="s">
        <v>603</v>
      </c>
      <c r="I785" s="36" t="s">
        <v>553</v>
      </c>
      <c r="J785" s="36" t="s">
        <v>881</v>
      </c>
      <c r="K785" s="36" t="s">
        <v>944</v>
      </c>
      <c r="L785" s="37">
        <v>200000</v>
      </c>
      <c r="M785" s="271">
        <v>200000</v>
      </c>
      <c r="N785" s="34"/>
      <c r="O785" s="34"/>
      <c r="P785" s="272" t="s">
        <v>960</v>
      </c>
    </row>
    <row r="786" spans="1:16" x14ac:dyDescent="0.25">
      <c r="A786" s="270" t="s">
        <v>411</v>
      </c>
      <c r="B786" s="31" t="s">
        <v>410</v>
      </c>
      <c r="C786" s="31" t="s">
        <v>418</v>
      </c>
      <c r="D786" s="31" t="s">
        <v>600</v>
      </c>
      <c r="E786" s="31" t="s">
        <v>205</v>
      </c>
      <c r="F786" s="35" t="s">
        <v>383</v>
      </c>
      <c r="G786" s="33" t="s">
        <v>498</v>
      </c>
      <c r="H786" s="33" t="s">
        <v>603</v>
      </c>
      <c r="I786" s="36" t="s">
        <v>553</v>
      </c>
      <c r="J786" s="36" t="s">
        <v>881</v>
      </c>
      <c r="K786" s="36" t="s">
        <v>944</v>
      </c>
      <c r="L786" s="37">
        <v>100000</v>
      </c>
      <c r="M786" s="271">
        <v>100000</v>
      </c>
      <c r="N786" s="34"/>
      <c r="O786" s="34"/>
      <c r="P786" s="272" t="s">
        <v>959</v>
      </c>
    </row>
    <row r="787" spans="1:16" x14ac:dyDescent="0.25">
      <c r="A787" s="270" t="s">
        <v>411</v>
      </c>
      <c r="B787" s="31" t="s">
        <v>410</v>
      </c>
      <c r="C787" s="31" t="s">
        <v>418</v>
      </c>
      <c r="D787" s="31" t="s">
        <v>600</v>
      </c>
      <c r="E787" s="31" t="s">
        <v>205</v>
      </c>
      <c r="F787" s="35" t="s">
        <v>383</v>
      </c>
      <c r="G787" s="33" t="s">
        <v>501</v>
      </c>
      <c r="H787" s="33" t="s">
        <v>603</v>
      </c>
      <c r="I787" s="36" t="s">
        <v>555</v>
      </c>
      <c r="J787" s="36" t="s">
        <v>577</v>
      </c>
      <c r="K787" s="36" t="s">
        <v>501</v>
      </c>
      <c r="L787" s="37">
        <v>2994784.6</v>
      </c>
      <c r="M787" s="271">
        <v>3000000</v>
      </c>
      <c r="N787" s="34"/>
      <c r="O787" s="34" t="s">
        <v>1017</v>
      </c>
      <c r="P787" s="272" t="s">
        <v>1019</v>
      </c>
    </row>
    <row r="788" spans="1:16" x14ac:dyDescent="0.25">
      <c r="A788" s="270" t="s">
        <v>411</v>
      </c>
      <c r="B788" s="31" t="s">
        <v>410</v>
      </c>
      <c r="C788" s="31" t="s">
        <v>418</v>
      </c>
      <c r="D788" s="31" t="s">
        <v>600</v>
      </c>
      <c r="E788" s="31" t="s">
        <v>205</v>
      </c>
      <c r="F788" s="35" t="s">
        <v>383</v>
      </c>
      <c r="G788" s="33" t="s">
        <v>876</v>
      </c>
      <c r="H788" s="33" t="s">
        <v>603</v>
      </c>
      <c r="I788" s="36" t="s">
        <v>553</v>
      </c>
      <c r="J788" s="36" t="s">
        <v>881</v>
      </c>
      <c r="K788" s="36" t="s">
        <v>1032</v>
      </c>
      <c r="L788" s="37">
        <v>20000</v>
      </c>
      <c r="M788" s="271">
        <v>20000</v>
      </c>
      <c r="N788" s="34"/>
      <c r="O788" s="34"/>
      <c r="P788" s="272" t="s">
        <v>877</v>
      </c>
    </row>
    <row r="789" spans="1:16" x14ac:dyDescent="0.25">
      <c r="A789" s="270" t="s">
        <v>411</v>
      </c>
      <c r="B789" s="31" t="s">
        <v>410</v>
      </c>
      <c r="C789" s="31" t="s">
        <v>418</v>
      </c>
      <c r="D789" s="31" t="s">
        <v>600</v>
      </c>
      <c r="E789" s="31" t="s">
        <v>206</v>
      </c>
      <c r="F789" s="35" t="s">
        <v>398</v>
      </c>
      <c r="G789" s="33" t="s">
        <v>547</v>
      </c>
      <c r="H789" s="33" t="s">
        <v>603</v>
      </c>
      <c r="I789" s="36" t="s">
        <v>553</v>
      </c>
      <c r="J789" s="36" t="s">
        <v>889</v>
      </c>
      <c r="K789" s="36" t="s">
        <v>584</v>
      </c>
      <c r="L789" s="37">
        <v>375000</v>
      </c>
      <c r="M789" s="271">
        <v>375000</v>
      </c>
      <c r="N789" s="34"/>
      <c r="O789" s="34"/>
      <c r="P789" s="272" t="s">
        <v>1088</v>
      </c>
    </row>
    <row r="790" spans="1:16" x14ac:dyDescent="0.25">
      <c r="A790" s="270" t="s">
        <v>411</v>
      </c>
      <c r="B790" s="31" t="s">
        <v>410</v>
      </c>
      <c r="C790" s="31" t="s">
        <v>418</v>
      </c>
      <c r="D790" s="31" t="s">
        <v>600</v>
      </c>
      <c r="E790" s="31" t="s">
        <v>207</v>
      </c>
      <c r="F790" s="35" t="s">
        <v>445</v>
      </c>
      <c r="G790" s="33" t="s">
        <v>535</v>
      </c>
      <c r="H790" s="33" t="s">
        <v>603</v>
      </c>
      <c r="I790" s="36" t="s">
        <v>553</v>
      </c>
      <c r="J790" s="36" t="s">
        <v>889</v>
      </c>
      <c r="K790" s="36" t="s">
        <v>584</v>
      </c>
      <c r="L790" s="37">
        <v>2700000</v>
      </c>
      <c r="M790" s="271">
        <v>2700000</v>
      </c>
      <c r="N790" s="34"/>
      <c r="O790" s="34"/>
      <c r="P790" s="272" t="s">
        <v>1089</v>
      </c>
    </row>
    <row r="791" spans="1:16" x14ac:dyDescent="0.25">
      <c r="A791" s="270" t="s">
        <v>411</v>
      </c>
      <c r="B791" s="31" t="s">
        <v>410</v>
      </c>
      <c r="C791" s="31" t="s">
        <v>418</v>
      </c>
      <c r="D791" s="31" t="s">
        <v>600</v>
      </c>
      <c r="E791" s="31" t="s">
        <v>207</v>
      </c>
      <c r="F791" s="35" t="s">
        <v>445</v>
      </c>
      <c r="G791" s="33" t="s">
        <v>535</v>
      </c>
      <c r="H791" s="33" t="s">
        <v>603</v>
      </c>
      <c r="I791" s="36" t="s">
        <v>553</v>
      </c>
      <c r="J791" s="36" t="s">
        <v>889</v>
      </c>
      <c r="K791" s="36" t="s">
        <v>584</v>
      </c>
      <c r="L791" s="37">
        <v>5000</v>
      </c>
      <c r="M791" s="271">
        <v>5000</v>
      </c>
      <c r="N791" s="34"/>
      <c r="O791" s="34"/>
      <c r="P791" s="272" t="s">
        <v>873</v>
      </c>
    </row>
    <row r="792" spans="1:16" x14ac:dyDescent="0.25">
      <c r="A792" s="270" t="s">
        <v>411</v>
      </c>
      <c r="B792" s="31" t="s">
        <v>410</v>
      </c>
      <c r="C792" s="31" t="s">
        <v>418</v>
      </c>
      <c r="D792" s="31" t="s">
        <v>600</v>
      </c>
      <c r="E792" s="31" t="s">
        <v>208</v>
      </c>
      <c r="F792" s="35" t="s">
        <v>446</v>
      </c>
      <c r="G792" s="33" t="s">
        <v>535</v>
      </c>
      <c r="H792" s="33" t="s">
        <v>603</v>
      </c>
      <c r="I792" s="36" t="s">
        <v>553</v>
      </c>
      <c r="J792" s="36" t="s">
        <v>889</v>
      </c>
      <c r="K792" s="36" t="s">
        <v>584</v>
      </c>
      <c r="L792" s="37">
        <v>1250000</v>
      </c>
      <c r="M792" s="271">
        <v>1250000</v>
      </c>
      <c r="N792" s="34"/>
      <c r="O792" s="34"/>
      <c r="P792" s="272" t="s">
        <v>1090</v>
      </c>
    </row>
    <row r="793" spans="1:16" x14ac:dyDescent="0.25">
      <c r="A793" s="270" t="s">
        <v>411</v>
      </c>
      <c r="B793" s="31" t="s">
        <v>410</v>
      </c>
      <c r="C793" s="31" t="s">
        <v>418</v>
      </c>
      <c r="D793" s="31" t="s">
        <v>600</v>
      </c>
      <c r="E793" s="31" t="s">
        <v>209</v>
      </c>
      <c r="F793" s="35" t="s">
        <v>407</v>
      </c>
      <c r="G793" s="33" t="s">
        <v>533</v>
      </c>
      <c r="H793" s="33" t="s">
        <v>603</v>
      </c>
      <c r="I793" s="36" t="s">
        <v>553</v>
      </c>
      <c r="J793" s="36" t="s">
        <v>582</v>
      </c>
      <c r="K793" s="36" t="s">
        <v>902</v>
      </c>
      <c r="L793" s="37">
        <v>25000</v>
      </c>
      <c r="M793" s="271">
        <v>25000</v>
      </c>
      <c r="N793" s="34" t="s">
        <v>899</v>
      </c>
      <c r="O793" s="34" t="s">
        <v>911</v>
      </c>
      <c r="P793" s="272" t="s">
        <v>914</v>
      </c>
    </row>
    <row r="794" spans="1:16" x14ac:dyDescent="0.25">
      <c r="A794" s="270" t="s">
        <v>411</v>
      </c>
      <c r="B794" s="31" t="s">
        <v>410</v>
      </c>
      <c r="C794" s="31" t="s">
        <v>418</v>
      </c>
      <c r="D794" s="31" t="s">
        <v>600</v>
      </c>
      <c r="E794" s="31" t="s">
        <v>210</v>
      </c>
      <c r="F794" s="35" t="s">
        <v>447</v>
      </c>
      <c r="G794" s="33" t="s">
        <v>533</v>
      </c>
      <c r="H794" s="33" t="s">
        <v>603</v>
      </c>
      <c r="I794" s="36" t="s">
        <v>553</v>
      </c>
      <c r="J794" s="36" t="s">
        <v>582</v>
      </c>
      <c r="K794" s="36" t="s">
        <v>902</v>
      </c>
      <c r="L794" s="37">
        <v>330000</v>
      </c>
      <c r="M794" s="271">
        <v>330000</v>
      </c>
      <c r="N794" s="34" t="s">
        <v>899</v>
      </c>
      <c r="O794" s="34" t="s">
        <v>911</v>
      </c>
      <c r="P794" s="272" t="s">
        <v>913</v>
      </c>
    </row>
    <row r="795" spans="1:16" x14ac:dyDescent="0.25">
      <c r="A795" s="270" t="s">
        <v>411</v>
      </c>
      <c r="B795" s="31" t="s">
        <v>410</v>
      </c>
      <c r="C795" s="31" t="s">
        <v>418</v>
      </c>
      <c r="D795" s="31" t="s">
        <v>600</v>
      </c>
      <c r="E795" s="31" t="s">
        <v>211</v>
      </c>
      <c r="F795" s="35" t="s">
        <v>448</v>
      </c>
      <c r="G795" s="33" t="s">
        <v>533</v>
      </c>
      <c r="H795" s="33" t="s">
        <v>603</v>
      </c>
      <c r="I795" s="36" t="s">
        <v>553</v>
      </c>
      <c r="J795" s="36" t="s">
        <v>582</v>
      </c>
      <c r="K795" s="36" t="s">
        <v>902</v>
      </c>
      <c r="L795" s="37">
        <v>13200</v>
      </c>
      <c r="M795" s="271">
        <v>13300</v>
      </c>
      <c r="N795" s="34" t="s">
        <v>899</v>
      </c>
      <c r="O795" s="34" t="s">
        <v>911</v>
      </c>
      <c r="P795" s="272" t="s">
        <v>915</v>
      </c>
    </row>
    <row r="796" spans="1:16" x14ac:dyDescent="0.25">
      <c r="A796" s="270" t="s">
        <v>411</v>
      </c>
      <c r="B796" s="31" t="s">
        <v>410</v>
      </c>
      <c r="C796" s="31" t="s">
        <v>418</v>
      </c>
      <c r="D796" s="31" t="s">
        <v>600</v>
      </c>
      <c r="E796" s="31" t="s">
        <v>212</v>
      </c>
      <c r="F796" s="35" t="s">
        <v>449</v>
      </c>
      <c r="G796" s="33" t="s">
        <v>533</v>
      </c>
      <c r="H796" s="33" t="s">
        <v>603</v>
      </c>
      <c r="I796" s="36" t="s">
        <v>552</v>
      </c>
      <c r="J796" s="36" t="s">
        <v>591</v>
      </c>
      <c r="K796" s="36" t="s">
        <v>1016</v>
      </c>
      <c r="L796" s="37">
        <v>0</v>
      </c>
      <c r="M796" s="271">
        <v>0</v>
      </c>
      <c r="N796" s="34" t="s">
        <v>899</v>
      </c>
      <c r="O796" s="34" t="s">
        <v>911</v>
      </c>
      <c r="P796" s="272" t="s">
        <v>916</v>
      </c>
    </row>
    <row r="797" spans="1:16" x14ac:dyDescent="0.25">
      <c r="A797" s="270" t="s">
        <v>411</v>
      </c>
      <c r="B797" s="31" t="s">
        <v>410</v>
      </c>
      <c r="C797" s="31" t="s">
        <v>418</v>
      </c>
      <c r="D797" s="31" t="s">
        <v>600</v>
      </c>
      <c r="E797" s="31" t="s">
        <v>212</v>
      </c>
      <c r="F797" s="35" t="s">
        <v>449</v>
      </c>
      <c r="G797" s="33" t="s">
        <v>533</v>
      </c>
      <c r="H797" s="33" t="s">
        <v>603</v>
      </c>
      <c r="I797" s="36" t="s">
        <v>552</v>
      </c>
      <c r="J797" s="36" t="s">
        <v>580</v>
      </c>
      <c r="K797" s="36" t="s">
        <v>892</v>
      </c>
      <c r="L797" s="37">
        <v>85409.279999999999</v>
      </c>
      <c r="M797" s="271">
        <v>85500</v>
      </c>
      <c r="N797" s="34" t="s">
        <v>899</v>
      </c>
      <c r="O797" s="34" t="s">
        <v>911</v>
      </c>
      <c r="P797" s="272" t="s">
        <v>916</v>
      </c>
    </row>
    <row r="798" spans="1:16" x14ac:dyDescent="0.25">
      <c r="A798" s="270" t="s">
        <v>411</v>
      </c>
      <c r="B798" s="31" t="s">
        <v>410</v>
      </c>
      <c r="C798" s="31" t="s">
        <v>418</v>
      </c>
      <c r="D798" s="31" t="s">
        <v>600</v>
      </c>
      <c r="E798" s="31" t="s">
        <v>212</v>
      </c>
      <c r="F798" s="35" t="s">
        <v>449</v>
      </c>
      <c r="G798" s="33" t="s">
        <v>533</v>
      </c>
      <c r="H798" s="33" t="s">
        <v>603</v>
      </c>
      <c r="I798" s="36" t="s">
        <v>553</v>
      </c>
      <c r="J798" s="36" t="s">
        <v>581</v>
      </c>
      <c r="K798" s="36" t="s">
        <v>893</v>
      </c>
      <c r="L798" s="37">
        <v>51245.57</v>
      </c>
      <c r="M798" s="271">
        <v>51350</v>
      </c>
      <c r="N798" s="34" t="s">
        <v>899</v>
      </c>
      <c r="O798" s="34" t="s">
        <v>911</v>
      </c>
      <c r="P798" s="272" t="s">
        <v>916</v>
      </c>
    </row>
    <row r="799" spans="1:16" x14ac:dyDescent="0.25">
      <c r="A799" s="270" t="s">
        <v>411</v>
      </c>
      <c r="B799" s="31" t="s">
        <v>410</v>
      </c>
      <c r="C799" s="31" t="s">
        <v>418</v>
      </c>
      <c r="D799" s="31" t="s">
        <v>600</v>
      </c>
      <c r="E799" s="31" t="s">
        <v>212</v>
      </c>
      <c r="F799" s="35" t="s">
        <v>449</v>
      </c>
      <c r="G799" s="33" t="s">
        <v>533</v>
      </c>
      <c r="H799" s="33" t="s">
        <v>603</v>
      </c>
      <c r="I799" s="36" t="s">
        <v>553</v>
      </c>
      <c r="J799" s="36" t="s">
        <v>889</v>
      </c>
      <c r="K799" s="36" t="s">
        <v>894</v>
      </c>
      <c r="L799" s="37">
        <v>68327.42</v>
      </c>
      <c r="M799" s="271">
        <v>68350</v>
      </c>
      <c r="N799" s="34" t="s">
        <v>899</v>
      </c>
      <c r="O799" s="34" t="s">
        <v>911</v>
      </c>
      <c r="P799" s="272" t="s">
        <v>916</v>
      </c>
    </row>
    <row r="800" spans="1:16" x14ac:dyDescent="0.25">
      <c r="A800" s="270" t="s">
        <v>411</v>
      </c>
      <c r="B800" s="31" t="s">
        <v>410</v>
      </c>
      <c r="C800" s="31" t="s">
        <v>418</v>
      </c>
      <c r="D800" s="31" t="s">
        <v>600</v>
      </c>
      <c r="E800" s="31" t="s">
        <v>212</v>
      </c>
      <c r="F800" s="35" t="s">
        <v>449</v>
      </c>
      <c r="G800" s="33" t="s">
        <v>533</v>
      </c>
      <c r="H800" s="33" t="s">
        <v>603</v>
      </c>
      <c r="I800" s="36" t="s">
        <v>553</v>
      </c>
      <c r="J800" s="36" t="s">
        <v>582</v>
      </c>
      <c r="K800" s="36" t="s">
        <v>896</v>
      </c>
      <c r="L800" s="37">
        <v>136654.85</v>
      </c>
      <c r="M800" s="271">
        <v>136750</v>
      </c>
      <c r="N800" s="34" t="s">
        <v>899</v>
      </c>
      <c r="O800" s="34" t="s">
        <v>911</v>
      </c>
      <c r="P800" s="272" t="s">
        <v>916</v>
      </c>
    </row>
    <row r="801" spans="1:16" x14ac:dyDescent="0.25">
      <c r="A801" s="270" t="s">
        <v>411</v>
      </c>
      <c r="B801" s="31" t="s">
        <v>410</v>
      </c>
      <c r="C801" s="31" t="s">
        <v>418</v>
      </c>
      <c r="D801" s="31" t="s">
        <v>600</v>
      </c>
      <c r="E801" s="31" t="s">
        <v>212</v>
      </c>
      <c r="F801" s="35" t="s">
        <v>449</v>
      </c>
      <c r="G801" s="33" t="s">
        <v>533</v>
      </c>
      <c r="H801" s="33" t="s">
        <v>603</v>
      </c>
      <c r="I801" s="36" t="s">
        <v>553</v>
      </c>
      <c r="J801" s="36" t="s">
        <v>881</v>
      </c>
      <c r="K801" s="36" t="s">
        <v>897</v>
      </c>
      <c r="L801" s="37">
        <v>85409.279999999999</v>
      </c>
      <c r="M801" s="271">
        <v>85500</v>
      </c>
      <c r="N801" s="34" t="s">
        <v>899</v>
      </c>
      <c r="O801" s="34" t="s">
        <v>911</v>
      </c>
      <c r="P801" s="272" t="s">
        <v>916</v>
      </c>
    </row>
    <row r="802" spans="1:16" x14ac:dyDescent="0.25">
      <c r="A802" s="270" t="s">
        <v>411</v>
      </c>
      <c r="B802" s="31" t="s">
        <v>410</v>
      </c>
      <c r="C802" s="31" t="s">
        <v>418</v>
      </c>
      <c r="D802" s="31" t="s">
        <v>600</v>
      </c>
      <c r="E802" s="31" t="s">
        <v>212</v>
      </c>
      <c r="F802" s="35" t="s">
        <v>449</v>
      </c>
      <c r="G802" s="33" t="s">
        <v>533</v>
      </c>
      <c r="H802" s="33" t="s">
        <v>603</v>
      </c>
      <c r="I802" s="36" t="s">
        <v>555</v>
      </c>
      <c r="J802" s="36" t="s">
        <v>579</v>
      </c>
      <c r="K802" s="36" t="s">
        <v>891</v>
      </c>
      <c r="L802" s="37">
        <v>68327.42</v>
      </c>
      <c r="M802" s="271">
        <v>68350</v>
      </c>
      <c r="N802" s="34" t="s">
        <v>899</v>
      </c>
      <c r="O802" s="34" t="s">
        <v>911</v>
      </c>
      <c r="P802" s="272" t="s">
        <v>916</v>
      </c>
    </row>
    <row r="803" spans="1:16" x14ac:dyDescent="0.25">
      <c r="A803" s="270" t="s">
        <v>411</v>
      </c>
      <c r="B803" s="31" t="s">
        <v>410</v>
      </c>
      <c r="C803" s="31" t="s">
        <v>418</v>
      </c>
      <c r="D803" s="31" t="s">
        <v>600</v>
      </c>
      <c r="E803" s="31" t="s">
        <v>212</v>
      </c>
      <c r="F803" s="35" t="s">
        <v>449</v>
      </c>
      <c r="G803" s="33" t="s">
        <v>533</v>
      </c>
      <c r="H803" s="33" t="s">
        <v>603</v>
      </c>
      <c r="I803" s="36" t="s">
        <v>555</v>
      </c>
      <c r="J803" s="36" t="s">
        <v>577</v>
      </c>
      <c r="K803" s="36" t="s">
        <v>1197</v>
      </c>
      <c r="L803" s="37">
        <v>0</v>
      </c>
      <c r="M803" s="271">
        <v>0</v>
      </c>
      <c r="N803" s="34" t="s">
        <v>899</v>
      </c>
      <c r="O803" s="34" t="s">
        <v>911</v>
      </c>
      <c r="P803" s="272" t="s">
        <v>916</v>
      </c>
    </row>
    <row r="804" spans="1:16" x14ac:dyDescent="0.25">
      <c r="A804" s="270" t="s">
        <v>411</v>
      </c>
      <c r="B804" s="31" t="s">
        <v>410</v>
      </c>
      <c r="C804" s="31" t="s">
        <v>418</v>
      </c>
      <c r="D804" s="31" t="s">
        <v>600</v>
      </c>
      <c r="E804" s="31" t="s">
        <v>212</v>
      </c>
      <c r="F804" s="35" t="s">
        <v>449</v>
      </c>
      <c r="G804" s="33" t="s">
        <v>533</v>
      </c>
      <c r="H804" s="33" t="s">
        <v>603</v>
      </c>
      <c r="I804" s="36" t="s">
        <v>555</v>
      </c>
      <c r="J804" s="36" t="s">
        <v>578</v>
      </c>
      <c r="K804" s="36" t="s">
        <v>890</v>
      </c>
      <c r="L804" s="37">
        <v>68327.42</v>
      </c>
      <c r="M804" s="271">
        <v>68350</v>
      </c>
      <c r="N804" s="34" t="s">
        <v>899</v>
      </c>
      <c r="O804" s="34" t="s">
        <v>911</v>
      </c>
      <c r="P804" s="272" t="s">
        <v>916</v>
      </c>
    </row>
    <row r="805" spans="1:16" x14ac:dyDescent="0.25">
      <c r="A805" s="270" t="s">
        <v>411</v>
      </c>
      <c r="B805" s="31" t="s">
        <v>410</v>
      </c>
      <c r="C805" s="31" t="s">
        <v>418</v>
      </c>
      <c r="D805" s="31" t="s">
        <v>600</v>
      </c>
      <c r="E805" s="31" t="s">
        <v>212</v>
      </c>
      <c r="F805" s="35" t="s">
        <v>449</v>
      </c>
      <c r="G805" s="33" t="s">
        <v>533</v>
      </c>
      <c r="H805" s="33" t="s">
        <v>603</v>
      </c>
      <c r="I805" s="36" t="s">
        <v>555</v>
      </c>
      <c r="J805" s="36" t="s">
        <v>875</v>
      </c>
      <c r="K805" s="36" t="s">
        <v>895</v>
      </c>
      <c r="L805" s="37">
        <v>68327.42</v>
      </c>
      <c r="M805" s="271">
        <v>68350</v>
      </c>
      <c r="N805" s="34" t="s">
        <v>899</v>
      </c>
      <c r="O805" s="34" t="s">
        <v>911</v>
      </c>
      <c r="P805" s="272" t="s">
        <v>916</v>
      </c>
    </row>
    <row r="806" spans="1:16" x14ac:dyDescent="0.25">
      <c r="A806" s="270" t="s">
        <v>411</v>
      </c>
      <c r="B806" s="31" t="s">
        <v>410</v>
      </c>
      <c r="C806" s="31" t="s">
        <v>418</v>
      </c>
      <c r="D806" s="31" t="s">
        <v>600</v>
      </c>
      <c r="E806" s="31" t="s">
        <v>213</v>
      </c>
      <c r="F806" s="35" t="s">
        <v>408</v>
      </c>
      <c r="G806" s="33" t="s">
        <v>533</v>
      </c>
      <c r="H806" s="33" t="s">
        <v>603</v>
      </c>
      <c r="I806" s="36" t="s">
        <v>553</v>
      </c>
      <c r="J806" s="36" t="s">
        <v>582</v>
      </c>
      <c r="K806" s="36" t="s">
        <v>902</v>
      </c>
      <c r="L806" s="37">
        <v>249654.01</v>
      </c>
      <c r="M806" s="271">
        <v>249700</v>
      </c>
      <c r="N806" s="34" t="s">
        <v>899</v>
      </c>
      <c r="O806" s="34" t="s">
        <v>911</v>
      </c>
      <c r="P806" s="272" t="s">
        <v>917</v>
      </c>
    </row>
    <row r="807" spans="1:16" x14ac:dyDescent="0.25">
      <c r="A807" s="270" t="s">
        <v>411</v>
      </c>
      <c r="B807" s="31" t="s">
        <v>410</v>
      </c>
      <c r="C807" s="31" t="s">
        <v>418</v>
      </c>
      <c r="D807" s="31" t="s">
        <v>600</v>
      </c>
      <c r="E807" s="31" t="s">
        <v>214</v>
      </c>
      <c r="F807" s="35" t="s">
        <v>450</v>
      </c>
      <c r="G807" s="33" t="s">
        <v>528</v>
      </c>
      <c r="H807" s="33" t="s">
        <v>603</v>
      </c>
      <c r="I807" s="36" t="s">
        <v>553</v>
      </c>
      <c r="J807" s="36" t="s">
        <v>581</v>
      </c>
      <c r="K807" s="36" t="s">
        <v>605</v>
      </c>
      <c r="L807" s="37">
        <v>26000000</v>
      </c>
      <c r="M807" s="271">
        <v>26000000</v>
      </c>
      <c r="N807" s="34"/>
      <c r="O807" s="34"/>
      <c r="P807" s="272" t="s">
        <v>918</v>
      </c>
    </row>
    <row r="808" spans="1:16" x14ac:dyDescent="0.25">
      <c r="A808" s="270" t="s">
        <v>411</v>
      </c>
      <c r="B808" s="31" t="s">
        <v>410</v>
      </c>
      <c r="C808" s="31" t="s">
        <v>418</v>
      </c>
      <c r="D808" s="31" t="s">
        <v>600</v>
      </c>
      <c r="E808" s="31" t="s">
        <v>214</v>
      </c>
      <c r="F808" s="35" t="s">
        <v>450</v>
      </c>
      <c r="G808" s="33" t="s">
        <v>528</v>
      </c>
      <c r="H808" s="33" t="s">
        <v>603</v>
      </c>
      <c r="I808" s="36" t="s">
        <v>553</v>
      </c>
      <c r="J808" s="36" t="s">
        <v>581</v>
      </c>
      <c r="K808" s="36" t="s">
        <v>605</v>
      </c>
      <c r="L808" s="37">
        <v>7000000</v>
      </c>
      <c r="M808" s="271">
        <v>7000000</v>
      </c>
      <c r="N808" s="34"/>
      <c r="O808" s="34"/>
      <c r="P808" s="272" t="s">
        <v>919</v>
      </c>
    </row>
    <row r="809" spans="1:16" x14ac:dyDescent="0.25">
      <c r="A809" s="270" t="s">
        <v>411</v>
      </c>
      <c r="B809" s="31" t="s">
        <v>410</v>
      </c>
      <c r="C809" s="31" t="s">
        <v>418</v>
      </c>
      <c r="D809" s="31" t="s">
        <v>600</v>
      </c>
      <c r="E809" s="31" t="s">
        <v>214</v>
      </c>
      <c r="F809" s="35" t="s">
        <v>450</v>
      </c>
      <c r="G809" s="33" t="s">
        <v>545</v>
      </c>
      <c r="H809" s="33" t="s">
        <v>603</v>
      </c>
      <c r="I809" s="36" t="s">
        <v>553</v>
      </c>
      <c r="J809" s="36" t="s">
        <v>582</v>
      </c>
      <c r="K809" s="36" t="s">
        <v>902</v>
      </c>
      <c r="L809" s="37">
        <v>200000</v>
      </c>
      <c r="M809" s="271">
        <v>200000</v>
      </c>
      <c r="N809" s="34"/>
      <c r="O809" s="34"/>
      <c r="P809" s="272" t="s">
        <v>546</v>
      </c>
    </row>
    <row r="810" spans="1:16" x14ac:dyDescent="0.25">
      <c r="A810" s="270" t="s">
        <v>411</v>
      </c>
      <c r="B810" s="31" t="s">
        <v>410</v>
      </c>
      <c r="C810" s="31" t="s">
        <v>418</v>
      </c>
      <c r="D810" s="31" t="s">
        <v>600</v>
      </c>
      <c r="E810" s="31" t="s">
        <v>214</v>
      </c>
      <c r="F810" s="35" t="s">
        <v>450</v>
      </c>
      <c r="G810" s="33" t="s">
        <v>926</v>
      </c>
      <c r="H810" s="33" t="s">
        <v>603</v>
      </c>
      <c r="I810" s="36" t="s">
        <v>553</v>
      </c>
      <c r="J810" s="36" t="s">
        <v>582</v>
      </c>
      <c r="K810" s="36" t="s">
        <v>902</v>
      </c>
      <c r="L810" s="37">
        <v>17410.75</v>
      </c>
      <c r="M810" s="271">
        <v>17500</v>
      </c>
      <c r="N810" s="34"/>
      <c r="O810" s="34"/>
      <c r="P810" s="272" t="s">
        <v>551</v>
      </c>
    </row>
    <row r="811" spans="1:16" x14ac:dyDescent="0.25">
      <c r="A811" s="270" t="s">
        <v>411</v>
      </c>
      <c r="B811" s="31" t="s">
        <v>410</v>
      </c>
      <c r="C811" s="31" t="s">
        <v>418</v>
      </c>
      <c r="D811" s="31" t="s">
        <v>600</v>
      </c>
      <c r="E811" s="31" t="s">
        <v>215</v>
      </c>
      <c r="F811" s="35" t="s">
        <v>451</v>
      </c>
      <c r="G811" s="33" t="s">
        <v>926</v>
      </c>
      <c r="H811" s="33" t="s">
        <v>603</v>
      </c>
      <c r="I811" s="36" t="s">
        <v>553</v>
      </c>
      <c r="J811" s="36" t="s">
        <v>582</v>
      </c>
      <c r="K811" s="36" t="s">
        <v>902</v>
      </c>
      <c r="L811" s="37">
        <v>11000</v>
      </c>
      <c r="M811" s="271">
        <v>11000</v>
      </c>
      <c r="N811" s="34"/>
      <c r="O811" s="34" t="s">
        <v>979</v>
      </c>
      <c r="P811" s="272" t="s">
        <v>995</v>
      </c>
    </row>
    <row r="812" spans="1:16" x14ac:dyDescent="0.25">
      <c r="A812" s="270" t="s">
        <v>411</v>
      </c>
      <c r="B812" s="31" t="s">
        <v>410</v>
      </c>
      <c r="C812" s="31" t="s">
        <v>418</v>
      </c>
      <c r="D812" s="31" t="s">
        <v>600</v>
      </c>
      <c r="E812" s="31" t="s">
        <v>215</v>
      </c>
      <c r="F812" s="35" t="s">
        <v>451</v>
      </c>
      <c r="G812" s="33" t="s">
        <v>499</v>
      </c>
      <c r="H812" s="33" t="s">
        <v>603</v>
      </c>
      <c r="I812" s="36" t="s">
        <v>555</v>
      </c>
      <c r="J812" s="36" t="s">
        <v>579</v>
      </c>
      <c r="K812" s="36" t="s">
        <v>587</v>
      </c>
      <c r="L812" s="37">
        <v>6057.6</v>
      </c>
      <c r="M812" s="271">
        <v>6500</v>
      </c>
      <c r="N812" s="34"/>
      <c r="O812" s="34"/>
      <c r="P812" s="272" t="s">
        <v>878</v>
      </c>
    </row>
    <row r="813" spans="1:16" x14ac:dyDescent="0.25">
      <c r="A813" s="270" t="s">
        <v>411</v>
      </c>
      <c r="B813" s="31" t="s">
        <v>410</v>
      </c>
      <c r="C813" s="31" t="s">
        <v>418</v>
      </c>
      <c r="D813" s="31" t="s">
        <v>600</v>
      </c>
      <c r="E813" s="31" t="s">
        <v>216</v>
      </c>
      <c r="F813" s="35" t="s">
        <v>540</v>
      </c>
      <c r="G813" s="33" t="s">
        <v>535</v>
      </c>
      <c r="H813" s="33" t="s">
        <v>603</v>
      </c>
      <c r="I813" s="36" t="s">
        <v>553</v>
      </c>
      <c r="J813" s="36" t="s">
        <v>889</v>
      </c>
      <c r="K813" s="36" t="s">
        <v>584</v>
      </c>
      <c r="L813" s="37">
        <v>0</v>
      </c>
      <c r="M813" s="271">
        <v>0</v>
      </c>
      <c r="N813" s="34"/>
      <c r="O813" s="34"/>
      <c r="P813" s="272" t="s">
        <v>994</v>
      </c>
    </row>
    <row r="814" spans="1:16" x14ac:dyDescent="0.25">
      <c r="A814" s="270" t="s">
        <v>411</v>
      </c>
      <c r="B814" s="31" t="s">
        <v>410</v>
      </c>
      <c r="C814" s="31" t="s">
        <v>418</v>
      </c>
      <c r="D814" s="31" t="s">
        <v>600</v>
      </c>
      <c r="E814" s="31" t="s">
        <v>217</v>
      </c>
      <c r="F814" s="35" t="s">
        <v>452</v>
      </c>
      <c r="G814" s="33" t="s">
        <v>547</v>
      </c>
      <c r="H814" s="33" t="s">
        <v>603</v>
      </c>
      <c r="I814" s="36" t="s">
        <v>553</v>
      </c>
      <c r="J814" s="36" t="s">
        <v>889</v>
      </c>
      <c r="K814" s="36" t="s">
        <v>584</v>
      </c>
      <c r="L814" s="37">
        <v>6000</v>
      </c>
      <c r="M814" s="271">
        <v>6000</v>
      </c>
      <c r="N814" s="34"/>
      <c r="O814" s="34"/>
      <c r="P814" s="272" t="s">
        <v>549</v>
      </c>
    </row>
    <row r="815" spans="1:16" x14ac:dyDescent="0.25">
      <c r="A815" s="270" t="s">
        <v>411</v>
      </c>
      <c r="B815" s="31" t="s">
        <v>410</v>
      </c>
      <c r="C815" s="31" t="s">
        <v>418</v>
      </c>
      <c r="D815" s="31" t="s">
        <v>600</v>
      </c>
      <c r="E815" s="31" t="s">
        <v>218</v>
      </c>
      <c r="F815" s="35" t="s">
        <v>453</v>
      </c>
      <c r="G815" s="33" t="s">
        <v>535</v>
      </c>
      <c r="H815" s="33" t="s">
        <v>603</v>
      </c>
      <c r="I815" s="36" t="s">
        <v>553</v>
      </c>
      <c r="J815" s="36" t="s">
        <v>889</v>
      </c>
      <c r="K815" s="36" t="s">
        <v>584</v>
      </c>
      <c r="L815" s="37">
        <v>15000</v>
      </c>
      <c r="M815" s="271">
        <v>20000</v>
      </c>
      <c r="N815" s="34"/>
      <c r="O815" s="34"/>
      <c r="P815" s="272" t="s">
        <v>850</v>
      </c>
    </row>
    <row r="816" spans="1:16" x14ac:dyDescent="0.25">
      <c r="A816" s="270" t="s">
        <v>411</v>
      </c>
      <c r="B816" s="31" t="s">
        <v>410</v>
      </c>
      <c r="C816" s="31" t="s">
        <v>418</v>
      </c>
      <c r="D816" s="31" t="s">
        <v>600</v>
      </c>
      <c r="E816" s="31" t="s">
        <v>219</v>
      </c>
      <c r="F816" s="35" t="s">
        <v>366</v>
      </c>
      <c r="G816" s="33" t="s">
        <v>547</v>
      </c>
      <c r="H816" s="33" t="s">
        <v>603</v>
      </c>
      <c r="I816" s="36" t="s">
        <v>555</v>
      </c>
      <c r="J816" s="36" t="s">
        <v>875</v>
      </c>
      <c r="K816" s="36" t="s">
        <v>1196</v>
      </c>
      <c r="L816" s="37">
        <v>5900.8</v>
      </c>
      <c r="M816" s="271">
        <v>6000</v>
      </c>
      <c r="N816" s="34"/>
      <c r="O816" s="34"/>
      <c r="P816" s="272" t="s">
        <v>550</v>
      </c>
    </row>
    <row r="817" spans="1:16" x14ac:dyDescent="0.25">
      <c r="A817" s="270" t="s">
        <v>411</v>
      </c>
      <c r="B817" s="31" t="s">
        <v>410</v>
      </c>
      <c r="C817" s="31" t="s">
        <v>418</v>
      </c>
      <c r="D817" s="31" t="s">
        <v>600</v>
      </c>
      <c r="E817" s="31" t="s">
        <v>219</v>
      </c>
      <c r="F817" s="35" t="s">
        <v>366</v>
      </c>
      <c r="G817" s="33" t="s">
        <v>547</v>
      </c>
      <c r="H817" s="33" t="s">
        <v>603</v>
      </c>
      <c r="I817" s="36" t="s">
        <v>555</v>
      </c>
      <c r="J817" s="36" t="s">
        <v>875</v>
      </c>
      <c r="K817" s="36" t="s">
        <v>1194</v>
      </c>
      <c r="L817" s="37">
        <v>10000</v>
      </c>
      <c r="M817" s="271">
        <v>12000</v>
      </c>
      <c r="N817" s="34"/>
      <c r="O817" s="34"/>
      <c r="P817" s="272" t="s">
        <v>550</v>
      </c>
    </row>
    <row r="818" spans="1:16" x14ac:dyDescent="0.25">
      <c r="A818" s="270" t="s">
        <v>411</v>
      </c>
      <c r="B818" s="31" t="s">
        <v>410</v>
      </c>
      <c r="C818" s="31" t="s">
        <v>418</v>
      </c>
      <c r="D818" s="31" t="s">
        <v>600</v>
      </c>
      <c r="E818" s="31" t="s">
        <v>219</v>
      </c>
      <c r="F818" s="35" t="s">
        <v>366</v>
      </c>
      <c r="G818" s="33" t="s">
        <v>547</v>
      </c>
      <c r="H818" s="33" t="s">
        <v>603</v>
      </c>
      <c r="I818" s="36" t="s">
        <v>555</v>
      </c>
      <c r="J818" s="36" t="s">
        <v>875</v>
      </c>
      <c r="K818" s="36" t="s">
        <v>1195</v>
      </c>
      <c r="L818" s="37">
        <v>10000</v>
      </c>
      <c r="M818" s="271">
        <v>12000</v>
      </c>
      <c r="N818" s="34"/>
      <c r="O818" s="34"/>
      <c r="P818" s="272" t="s">
        <v>550</v>
      </c>
    </row>
    <row r="819" spans="1:16" x14ac:dyDescent="0.25">
      <c r="A819" s="270" t="s">
        <v>411</v>
      </c>
      <c r="B819" s="31" t="s">
        <v>410</v>
      </c>
      <c r="C819" s="31" t="s">
        <v>418</v>
      </c>
      <c r="D819" s="31" t="s">
        <v>600</v>
      </c>
      <c r="E819" s="31" t="s">
        <v>220</v>
      </c>
      <c r="F819" s="35" t="s">
        <v>454</v>
      </c>
      <c r="G819" s="33" t="s">
        <v>520</v>
      </c>
      <c r="H819" s="33" t="s">
        <v>603</v>
      </c>
      <c r="I819" s="36" t="s">
        <v>553</v>
      </c>
      <c r="J819" s="36" t="s">
        <v>881</v>
      </c>
      <c r="K819" s="36" t="s">
        <v>903</v>
      </c>
      <c r="L819" s="37">
        <v>200000</v>
      </c>
      <c r="M819" s="271">
        <v>200000</v>
      </c>
      <c r="N819" s="34"/>
      <c r="O819" s="34"/>
      <c r="P819" s="272" t="s">
        <v>522</v>
      </c>
    </row>
    <row r="820" spans="1:16" x14ac:dyDescent="0.25">
      <c r="A820" s="270" t="s">
        <v>411</v>
      </c>
      <c r="B820" s="31" t="s">
        <v>410</v>
      </c>
      <c r="C820" s="31" t="s">
        <v>418</v>
      </c>
      <c r="D820" s="31" t="s">
        <v>600</v>
      </c>
      <c r="E820" s="31" t="s">
        <v>221</v>
      </c>
      <c r="F820" s="35" t="s">
        <v>386</v>
      </c>
      <c r="G820" s="33" t="s">
        <v>535</v>
      </c>
      <c r="H820" s="33" t="s">
        <v>603</v>
      </c>
      <c r="I820" s="36" t="s">
        <v>553</v>
      </c>
      <c r="J820" s="36" t="s">
        <v>889</v>
      </c>
      <c r="K820" s="36" t="s">
        <v>584</v>
      </c>
      <c r="L820" s="37">
        <v>13000</v>
      </c>
      <c r="M820" s="271">
        <v>13000</v>
      </c>
      <c r="N820" s="34"/>
      <c r="O820" s="34"/>
      <c r="P820" s="272" t="s">
        <v>536</v>
      </c>
    </row>
    <row r="821" spans="1:16" x14ac:dyDescent="0.25">
      <c r="A821" s="270" t="s">
        <v>411</v>
      </c>
      <c r="B821" s="31" t="s">
        <v>410</v>
      </c>
      <c r="C821" s="31" t="s">
        <v>418</v>
      </c>
      <c r="D821" s="31" t="s">
        <v>600</v>
      </c>
      <c r="E821" s="31" t="s">
        <v>222</v>
      </c>
      <c r="F821" s="35" t="s">
        <v>455</v>
      </c>
      <c r="G821" s="33" t="s">
        <v>535</v>
      </c>
      <c r="H821" s="33" t="s">
        <v>603</v>
      </c>
      <c r="I821" s="36" t="s">
        <v>553</v>
      </c>
      <c r="J821" s="36" t="s">
        <v>889</v>
      </c>
      <c r="K821" s="36" t="s">
        <v>584</v>
      </c>
      <c r="L821" s="37">
        <v>540000</v>
      </c>
      <c r="M821" s="271">
        <v>540000</v>
      </c>
      <c r="N821" s="34"/>
      <c r="O821" s="34"/>
      <c r="P821" s="272" t="s">
        <v>1334</v>
      </c>
    </row>
    <row r="822" spans="1:16" x14ac:dyDescent="0.25">
      <c r="A822" s="270" t="s">
        <v>411</v>
      </c>
      <c r="B822" s="31" t="s">
        <v>410</v>
      </c>
      <c r="C822" s="31" t="s">
        <v>418</v>
      </c>
      <c r="D822" s="31" t="s">
        <v>600</v>
      </c>
      <c r="E822" s="31" t="s">
        <v>222</v>
      </c>
      <c r="F822" s="35" t="s">
        <v>455</v>
      </c>
      <c r="G822" s="33" t="s">
        <v>535</v>
      </c>
      <c r="H822" s="33" t="s">
        <v>603</v>
      </c>
      <c r="I822" s="36" t="s">
        <v>553</v>
      </c>
      <c r="J822" s="36" t="s">
        <v>889</v>
      </c>
      <c r="K822" s="36" t="s">
        <v>584</v>
      </c>
      <c r="L822" s="37">
        <v>85000</v>
      </c>
      <c r="M822" s="271">
        <v>85000</v>
      </c>
      <c r="N822" s="34"/>
      <c r="O822" s="34"/>
      <c r="P822" s="272" t="s">
        <v>851</v>
      </c>
    </row>
    <row r="823" spans="1:16" x14ac:dyDescent="0.25">
      <c r="A823" s="270" t="s">
        <v>411</v>
      </c>
      <c r="B823" s="31" t="s">
        <v>410</v>
      </c>
      <c r="C823" s="31" t="s">
        <v>418</v>
      </c>
      <c r="D823" s="31" t="s">
        <v>600</v>
      </c>
      <c r="E823" s="31" t="s">
        <v>223</v>
      </c>
      <c r="F823" s="35" t="s">
        <v>456</v>
      </c>
      <c r="G823" s="33" t="s">
        <v>535</v>
      </c>
      <c r="H823" s="33" t="s">
        <v>603</v>
      </c>
      <c r="I823" s="36" t="s">
        <v>553</v>
      </c>
      <c r="J823" s="36" t="s">
        <v>889</v>
      </c>
      <c r="K823" s="36" t="s">
        <v>584</v>
      </c>
      <c r="L823" s="37">
        <v>1795000</v>
      </c>
      <c r="M823" s="271">
        <v>1795000</v>
      </c>
      <c r="N823" s="34"/>
      <c r="O823" s="34"/>
      <c r="P823" s="272" t="s">
        <v>1337</v>
      </c>
    </row>
    <row r="824" spans="1:16" x14ac:dyDescent="0.25">
      <c r="A824" s="270" t="s">
        <v>411</v>
      </c>
      <c r="B824" s="31" t="s">
        <v>410</v>
      </c>
      <c r="C824" s="31" t="s">
        <v>418</v>
      </c>
      <c r="D824" s="31" t="s">
        <v>600</v>
      </c>
      <c r="E824" s="31" t="s">
        <v>223</v>
      </c>
      <c r="F824" s="35" t="s">
        <v>456</v>
      </c>
      <c r="G824" s="33" t="s">
        <v>535</v>
      </c>
      <c r="H824" s="33" t="s">
        <v>603</v>
      </c>
      <c r="I824" s="36" t="s">
        <v>553</v>
      </c>
      <c r="J824" s="36" t="s">
        <v>889</v>
      </c>
      <c r="K824" s="36" t="s">
        <v>584</v>
      </c>
      <c r="L824" s="37">
        <v>560000</v>
      </c>
      <c r="M824" s="271">
        <v>560000</v>
      </c>
      <c r="N824" s="34"/>
      <c r="O824" s="34"/>
      <c r="P824" s="272" t="s">
        <v>1332</v>
      </c>
    </row>
    <row r="825" spans="1:16" x14ac:dyDescent="0.25">
      <c r="A825" s="270" t="s">
        <v>411</v>
      </c>
      <c r="B825" s="31" t="s">
        <v>410</v>
      </c>
      <c r="C825" s="31" t="s">
        <v>418</v>
      </c>
      <c r="D825" s="31" t="s">
        <v>600</v>
      </c>
      <c r="E825" s="31" t="s">
        <v>223</v>
      </c>
      <c r="F825" s="35" t="s">
        <v>456</v>
      </c>
      <c r="G825" s="33" t="s">
        <v>535</v>
      </c>
      <c r="H825" s="33" t="s">
        <v>603</v>
      </c>
      <c r="I825" s="36" t="s">
        <v>553</v>
      </c>
      <c r="J825" s="36" t="s">
        <v>889</v>
      </c>
      <c r="K825" s="36" t="s">
        <v>584</v>
      </c>
      <c r="L825" s="37">
        <v>50000</v>
      </c>
      <c r="M825" s="271">
        <v>50000</v>
      </c>
      <c r="N825" s="34"/>
      <c r="O825" s="34"/>
      <c r="P825" s="272" t="s">
        <v>537</v>
      </c>
    </row>
    <row r="826" spans="1:16" x14ac:dyDescent="0.25">
      <c r="A826" s="270" t="s">
        <v>411</v>
      </c>
      <c r="B826" s="31" t="s">
        <v>410</v>
      </c>
      <c r="C826" s="31" t="s">
        <v>418</v>
      </c>
      <c r="D826" s="31" t="s">
        <v>600</v>
      </c>
      <c r="E826" s="31" t="s">
        <v>223</v>
      </c>
      <c r="F826" s="35" t="s">
        <v>456</v>
      </c>
      <c r="G826" s="33" t="s">
        <v>535</v>
      </c>
      <c r="H826" s="33" t="s">
        <v>603</v>
      </c>
      <c r="I826" s="36" t="s">
        <v>553</v>
      </c>
      <c r="J826" s="36" t="s">
        <v>889</v>
      </c>
      <c r="K826" s="36" t="s">
        <v>584</v>
      </c>
      <c r="L826" s="37">
        <v>490000</v>
      </c>
      <c r="M826" s="271">
        <v>490000</v>
      </c>
      <c r="N826" s="34"/>
      <c r="O826" s="34"/>
      <c r="P826" s="272" t="s">
        <v>852</v>
      </c>
    </row>
    <row r="827" spans="1:16" x14ac:dyDescent="0.25">
      <c r="A827" s="270" t="s">
        <v>411</v>
      </c>
      <c r="B827" s="31" t="s">
        <v>410</v>
      </c>
      <c r="C827" s="31" t="s">
        <v>418</v>
      </c>
      <c r="D827" s="31" t="s">
        <v>600</v>
      </c>
      <c r="E827" s="31" t="s">
        <v>223</v>
      </c>
      <c r="F827" s="35" t="s">
        <v>456</v>
      </c>
      <c r="G827" s="33" t="s">
        <v>535</v>
      </c>
      <c r="H827" s="33" t="s">
        <v>603</v>
      </c>
      <c r="I827" s="36" t="s">
        <v>553</v>
      </c>
      <c r="J827" s="36" t="s">
        <v>889</v>
      </c>
      <c r="K827" s="36" t="s">
        <v>584</v>
      </c>
      <c r="L827" s="37">
        <v>3200000</v>
      </c>
      <c r="M827" s="271">
        <v>3200000</v>
      </c>
      <c r="N827" s="34"/>
      <c r="O827" s="34"/>
      <c r="P827" s="272" t="s">
        <v>542</v>
      </c>
    </row>
    <row r="828" spans="1:16" x14ac:dyDescent="0.25">
      <c r="A828" s="270" t="s">
        <v>411</v>
      </c>
      <c r="B828" s="31" t="s">
        <v>410</v>
      </c>
      <c r="C828" s="31" t="s">
        <v>418</v>
      </c>
      <c r="D828" s="31" t="s">
        <v>600</v>
      </c>
      <c r="E828" s="31" t="s">
        <v>224</v>
      </c>
      <c r="F828" s="35" t="s">
        <v>457</v>
      </c>
      <c r="G828" s="33" t="s">
        <v>547</v>
      </c>
      <c r="H828" s="33" t="s">
        <v>603</v>
      </c>
      <c r="I828" s="36" t="s">
        <v>553</v>
      </c>
      <c r="J828" s="36" t="s">
        <v>889</v>
      </c>
      <c r="K828" s="36" t="s">
        <v>584</v>
      </c>
      <c r="L828" s="37">
        <v>37000</v>
      </c>
      <c r="M828" s="271">
        <v>37000</v>
      </c>
      <c r="N828" s="34"/>
      <c r="O828" s="34"/>
      <c r="P828" s="272" t="s">
        <v>868</v>
      </c>
    </row>
    <row r="829" spans="1:16" x14ac:dyDescent="0.25">
      <c r="A829" s="270" t="s">
        <v>411</v>
      </c>
      <c r="B829" s="31" t="s">
        <v>410</v>
      </c>
      <c r="C829" s="31" t="s">
        <v>418</v>
      </c>
      <c r="D829" s="31" t="s">
        <v>600</v>
      </c>
      <c r="E829" s="31" t="s">
        <v>225</v>
      </c>
      <c r="F829" s="35" t="s">
        <v>458</v>
      </c>
      <c r="G829" s="33" t="s">
        <v>535</v>
      </c>
      <c r="H829" s="33" t="s">
        <v>603</v>
      </c>
      <c r="I829" s="36" t="s">
        <v>553</v>
      </c>
      <c r="J829" s="36" t="s">
        <v>889</v>
      </c>
      <c r="K829" s="36" t="s">
        <v>584</v>
      </c>
      <c r="L829" s="37">
        <v>500000</v>
      </c>
      <c r="M829" s="271">
        <v>500000</v>
      </c>
      <c r="N829" s="34"/>
      <c r="O829" s="34"/>
      <c r="P829" s="272" t="s">
        <v>853</v>
      </c>
    </row>
    <row r="830" spans="1:16" x14ac:dyDescent="0.25">
      <c r="A830" s="270" t="s">
        <v>411</v>
      </c>
      <c r="B830" s="31" t="s">
        <v>410</v>
      </c>
      <c r="C830" s="31" t="s">
        <v>418</v>
      </c>
      <c r="D830" s="31" t="s">
        <v>600</v>
      </c>
      <c r="E830" s="31" t="s">
        <v>226</v>
      </c>
      <c r="F830" s="35" t="s">
        <v>459</v>
      </c>
      <c r="G830" s="33" t="s">
        <v>535</v>
      </c>
      <c r="H830" s="33" t="s">
        <v>603</v>
      </c>
      <c r="I830" s="36" t="s">
        <v>553</v>
      </c>
      <c r="J830" s="36" t="s">
        <v>889</v>
      </c>
      <c r="K830" s="36" t="s">
        <v>584</v>
      </c>
      <c r="L830" s="37">
        <v>75000</v>
      </c>
      <c r="M830" s="271">
        <v>75000</v>
      </c>
      <c r="N830" s="34"/>
      <c r="O830" s="34"/>
      <c r="P830" s="272" t="s">
        <v>854</v>
      </c>
    </row>
    <row r="831" spans="1:16" x14ac:dyDescent="0.25">
      <c r="A831" s="270" t="s">
        <v>411</v>
      </c>
      <c r="B831" s="31" t="s">
        <v>410</v>
      </c>
      <c r="C831" s="31" t="s">
        <v>418</v>
      </c>
      <c r="D831" s="31" t="s">
        <v>600</v>
      </c>
      <c r="E831" s="31" t="s">
        <v>227</v>
      </c>
      <c r="F831" s="35" t="s">
        <v>460</v>
      </c>
      <c r="G831" s="33" t="s">
        <v>856</v>
      </c>
      <c r="H831" s="33" t="s">
        <v>603</v>
      </c>
      <c r="I831" s="36" t="s">
        <v>553</v>
      </c>
      <c r="J831" s="36" t="s">
        <v>581</v>
      </c>
      <c r="K831" s="36" t="s">
        <v>1038</v>
      </c>
      <c r="L831" s="37">
        <v>260000</v>
      </c>
      <c r="M831" s="271">
        <v>260000</v>
      </c>
      <c r="N831" s="34"/>
      <c r="O831" s="34"/>
      <c r="P831" s="272" t="s">
        <v>1039</v>
      </c>
    </row>
    <row r="832" spans="1:16" x14ac:dyDescent="0.25">
      <c r="A832" s="270" t="s">
        <v>411</v>
      </c>
      <c r="B832" s="31" t="s">
        <v>410</v>
      </c>
      <c r="C832" s="31" t="s">
        <v>418</v>
      </c>
      <c r="D832" s="31" t="s">
        <v>600</v>
      </c>
      <c r="E832" s="31" t="s">
        <v>227</v>
      </c>
      <c r="F832" s="35" t="s">
        <v>460</v>
      </c>
      <c r="G832" s="33" t="s">
        <v>856</v>
      </c>
      <c r="H832" s="33" t="s">
        <v>603</v>
      </c>
      <c r="I832" s="36" t="s">
        <v>553</v>
      </c>
      <c r="J832" s="36" t="s">
        <v>582</v>
      </c>
      <c r="K832" s="36" t="s">
        <v>902</v>
      </c>
      <c r="L832" s="37">
        <v>100000</v>
      </c>
      <c r="M832" s="271">
        <v>100000</v>
      </c>
      <c r="N832" s="34"/>
      <c r="O832" s="34"/>
      <c r="P832" s="272" t="s">
        <v>869</v>
      </c>
    </row>
    <row r="833" spans="1:22" x14ac:dyDescent="0.25">
      <c r="A833" s="270" t="s">
        <v>411</v>
      </c>
      <c r="B833" s="31" t="s">
        <v>410</v>
      </c>
      <c r="C833" s="31" t="s">
        <v>418</v>
      </c>
      <c r="D833" s="31" t="s">
        <v>600</v>
      </c>
      <c r="E833" s="31" t="s">
        <v>228</v>
      </c>
      <c r="F833" s="35" t="s">
        <v>461</v>
      </c>
      <c r="G833" s="33" t="s">
        <v>535</v>
      </c>
      <c r="H833" s="33" t="s">
        <v>603</v>
      </c>
      <c r="I833" s="36" t="s">
        <v>553</v>
      </c>
      <c r="J833" s="36" t="s">
        <v>889</v>
      </c>
      <c r="K833" s="36" t="s">
        <v>584</v>
      </c>
      <c r="L833" s="37">
        <v>100000</v>
      </c>
      <c r="M833" s="271">
        <v>100000</v>
      </c>
      <c r="N833" s="34"/>
      <c r="O833" s="34"/>
      <c r="P833" s="272" t="s">
        <v>538</v>
      </c>
    </row>
    <row r="834" spans="1:22" x14ac:dyDescent="0.25">
      <c r="A834" s="270" t="s">
        <v>411</v>
      </c>
      <c r="B834" s="31" t="s">
        <v>410</v>
      </c>
      <c r="C834" s="31" t="s">
        <v>418</v>
      </c>
      <c r="D834" s="31" t="s">
        <v>600</v>
      </c>
      <c r="E834" s="31" t="s">
        <v>228</v>
      </c>
      <c r="F834" s="35" t="s">
        <v>461</v>
      </c>
      <c r="G834" s="33" t="s">
        <v>535</v>
      </c>
      <c r="H834" s="33" t="s">
        <v>603</v>
      </c>
      <c r="I834" s="36" t="s">
        <v>553</v>
      </c>
      <c r="J834" s="36" t="s">
        <v>889</v>
      </c>
      <c r="K834" s="36" t="s">
        <v>584</v>
      </c>
      <c r="L834" s="37">
        <v>300000</v>
      </c>
      <c r="M834" s="271">
        <v>300000</v>
      </c>
      <c r="N834" s="34"/>
      <c r="O834" s="34"/>
      <c r="P834" s="272" t="s">
        <v>539</v>
      </c>
    </row>
    <row r="835" spans="1:22" x14ac:dyDescent="0.25">
      <c r="A835" s="270" t="s">
        <v>411</v>
      </c>
      <c r="B835" s="31" t="s">
        <v>410</v>
      </c>
      <c r="C835" s="31" t="s">
        <v>418</v>
      </c>
      <c r="D835" s="31" t="s">
        <v>600</v>
      </c>
      <c r="E835" s="31" t="s">
        <v>229</v>
      </c>
      <c r="F835" s="35" t="s">
        <v>462</v>
      </c>
      <c r="G835" s="33" t="s">
        <v>520</v>
      </c>
      <c r="H835" s="33" t="s">
        <v>603</v>
      </c>
      <c r="I835" s="36" t="s">
        <v>553</v>
      </c>
      <c r="J835" s="36" t="s">
        <v>881</v>
      </c>
      <c r="K835" s="36" t="s">
        <v>903</v>
      </c>
      <c r="L835" s="37">
        <v>34500</v>
      </c>
      <c r="M835" s="271">
        <v>34500</v>
      </c>
      <c r="N835" s="34"/>
      <c r="O835" s="34"/>
      <c r="P835" s="272" t="s">
        <v>523</v>
      </c>
    </row>
    <row r="836" spans="1:22" x14ac:dyDescent="0.25">
      <c r="A836" s="270" t="s">
        <v>411</v>
      </c>
      <c r="B836" s="31" t="s">
        <v>410</v>
      </c>
      <c r="C836" s="31" t="s">
        <v>418</v>
      </c>
      <c r="D836" s="31" t="s">
        <v>600</v>
      </c>
      <c r="E836" s="31" t="s">
        <v>229</v>
      </c>
      <c r="F836" s="35" t="s">
        <v>462</v>
      </c>
      <c r="G836" s="33" t="s">
        <v>520</v>
      </c>
      <c r="H836" s="33" t="s">
        <v>603</v>
      </c>
      <c r="I836" s="36" t="s">
        <v>553</v>
      </c>
      <c r="J836" s="36" t="s">
        <v>881</v>
      </c>
      <c r="K836" s="36" t="s">
        <v>903</v>
      </c>
      <c r="L836" s="37">
        <v>45000</v>
      </c>
      <c r="M836" s="271">
        <v>45000</v>
      </c>
      <c r="N836" s="34"/>
      <c r="O836" s="34"/>
      <c r="P836" s="272" t="s">
        <v>861</v>
      </c>
    </row>
    <row r="837" spans="1:22" x14ac:dyDescent="0.25">
      <c r="A837" s="270" t="s">
        <v>411</v>
      </c>
      <c r="B837" s="31" t="s">
        <v>410</v>
      </c>
      <c r="C837" s="31" t="s">
        <v>418</v>
      </c>
      <c r="D837" s="31" t="s">
        <v>600</v>
      </c>
      <c r="E837" s="31" t="s">
        <v>230</v>
      </c>
      <c r="F837" s="35" t="s">
        <v>391</v>
      </c>
      <c r="G837" s="33" t="s">
        <v>885</v>
      </c>
      <c r="H837" s="33" t="s">
        <v>603</v>
      </c>
      <c r="I837" s="36" t="s">
        <v>555</v>
      </c>
      <c r="J837" s="36" t="s">
        <v>875</v>
      </c>
      <c r="K837" s="36" t="s">
        <v>904</v>
      </c>
      <c r="L837" s="37">
        <v>270600</v>
      </c>
      <c r="M837" s="271">
        <v>275000</v>
      </c>
      <c r="N837" s="34"/>
      <c r="O837" s="34"/>
      <c r="P837" s="272" t="s">
        <v>884</v>
      </c>
    </row>
    <row r="838" spans="1:22" x14ac:dyDescent="0.25">
      <c r="A838" s="270" t="s">
        <v>411</v>
      </c>
      <c r="B838" s="31" t="s">
        <v>410</v>
      </c>
      <c r="C838" s="31" t="s">
        <v>418</v>
      </c>
      <c r="D838" s="31" t="s">
        <v>600</v>
      </c>
      <c r="E838" s="31" t="s">
        <v>231</v>
      </c>
      <c r="F838" s="35" t="s">
        <v>755</v>
      </c>
      <c r="G838" s="33" t="s">
        <v>528</v>
      </c>
      <c r="H838" s="33" t="s">
        <v>603</v>
      </c>
      <c r="I838" s="36" t="s">
        <v>553</v>
      </c>
      <c r="J838" s="36" t="s">
        <v>581</v>
      </c>
      <c r="K838" s="36" t="s">
        <v>605</v>
      </c>
      <c r="L838" s="37">
        <v>3000000</v>
      </c>
      <c r="M838" s="271">
        <v>3000000</v>
      </c>
      <c r="N838" s="34"/>
      <c r="O838" s="34"/>
      <c r="P838" s="272" t="s">
        <v>870</v>
      </c>
    </row>
    <row r="839" spans="1:22" x14ac:dyDescent="0.25">
      <c r="A839" s="270" t="s">
        <v>411</v>
      </c>
      <c r="B839" s="31" t="s">
        <v>410</v>
      </c>
      <c r="C839" s="31" t="s">
        <v>418</v>
      </c>
      <c r="D839" s="31" t="s">
        <v>600</v>
      </c>
      <c r="E839" s="31" t="s">
        <v>231</v>
      </c>
      <c r="F839" s="35" t="s">
        <v>755</v>
      </c>
      <c r="G839" s="33" t="s">
        <v>535</v>
      </c>
      <c r="H839" s="33" t="s">
        <v>603</v>
      </c>
      <c r="I839" s="36" t="s">
        <v>553</v>
      </c>
      <c r="J839" s="36" t="s">
        <v>889</v>
      </c>
      <c r="K839" s="36" t="s">
        <v>584</v>
      </c>
      <c r="L839" s="37">
        <v>5000</v>
      </c>
      <c r="M839" s="271">
        <v>5000</v>
      </c>
      <c r="N839" s="34"/>
      <c r="O839" s="34"/>
      <c r="P839" s="272" t="s">
        <v>1338</v>
      </c>
    </row>
    <row r="840" spans="1:22" x14ac:dyDescent="0.25">
      <c r="A840" s="270" t="s">
        <v>411</v>
      </c>
      <c r="B840" s="31" t="s">
        <v>410</v>
      </c>
      <c r="C840" s="31" t="s">
        <v>418</v>
      </c>
      <c r="D840" s="31" t="s">
        <v>600</v>
      </c>
      <c r="E840" s="31" t="s">
        <v>232</v>
      </c>
      <c r="F840" s="35" t="s">
        <v>367</v>
      </c>
      <c r="G840" s="33" t="s">
        <v>885</v>
      </c>
      <c r="H840" s="33" t="s">
        <v>603</v>
      </c>
      <c r="I840" s="36" t="s">
        <v>555</v>
      </c>
      <c r="J840" s="36" t="s">
        <v>875</v>
      </c>
      <c r="K840" s="36" t="s">
        <v>1194</v>
      </c>
      <c r="L840" s="37">
        <v>0</v>
      </c>
      <c r="M840" s="271">
        <v>0</v>
      </c>
      <c r="N840" s="34"/>
      <c r="O840" s="34" t="s">
        <v>1185</v>
      </c>
      <c r="P840" s="272" t="s">
        <v>1187</v>
      </c>
    </row>
    <row r="841" spans="1:22" x14ac:dyDescent="0.25">
      <c r="A841" s="270" t="s">
        <v>411</v>
      </c>
      <c r="B841" s="31" t="s">
        <v>410</v>
      </c>
      <c r="C841" s="31" t="s">
        <v>418</v>
      </c>
      <c r="D841" s="31" t="s">
        <v>600</v>
      </c>
      <c r="E841" s="31" t="s">
        <v>232</v>
      </c>
      <c r="F841" s="35" t="s">
        <v>367</v>
      </c>
      <c r="G841" s="33" t="s">
        <v>885</v>
      </c>
      <c r="H841" s="33" t="s">
        <v>603</v>
      </c>
      <c r="I841" s="36" t="s">
        <v>555</v>
      </c>
      <c r="J841" s="36" t="s">
        <v>875</v>
      </c>
      <c r="K841" s="36" t="s">
        <v>1195</v>
      </c>
      <c r="L841" s="37">
        <v>165000</v>
      </c>
      <c r="M841" s="271">
        <v>180000</v>
      </c>
      <c r="N841" s="34"/>
      <c r="O841" s="34" t="s">
        <v>1192</v>
      </c>
      <c r="P841" s="272" t="s">
        <v>1190</v>
      </c>
    </row>
    <row r="842" spans="1:22" x14ac:dyDescent="0.25">
      <c r="A842" s="270" t="s">
        <v>411</v>
      </c>
      <c r="B842" s="31" t="s">
        <v>410</v>
      </c>
      <c r="C842" s="31" t="s">
        <v>418</v>
      </c>
      <c r="D842" s="31" t="s">
        <v>600</v>
      </c>
      <c r="E842" s="31" t="s">
        <v>232</v>
      </c>
      <c r="F842" s="35" t="s">
        <v>367</v>
      </c>
      <c r="G842" s="33" t="s">
        <v>885</v>
      </c>
      <c r="H842" s="33" t="s">
        <v>603</v>
      </c>
      <c r="I842" s="36" t="s">
        <v>555</v>
      </c>
      <c r="J842" s="36" t="s">
        <v>875</v>
      </c>
      <c r="K842" s="36" t="s">
        <v>1196</v>
      </c>
      <c r="L842" s="37">
        <v>0</v>
      </c>
      <c r="M842" s="271">
        <v>0</v>
      </c>
      <c r="N842" s="34"/>
      <c r="O842" s="34" t="s">
        <v>1183</v>
      </c>
      <c r="P842" s="272" t="s">
        <v>1186</v>
      </c>
    </row>
    <row r="843" spans="1:22" x14ac:dyDescent="0.25">
      <c r="A843" s="270" t="s">
        <v>411</v>
      </c>
      <c r="B843" s="31" t="s">
        <v>410</v>
      </c>
      <c r="C843" s="31" t="s">
        <v>418</v>
      </c>
      <c r="D843" s="31" t="s">
        <v>600</v>
      </c>
      <c r="E843" s="31" t="s">
        <v>232</v>
      </c>
      <c r="F843" s="35" t="s">
        <v>367</v>
      </c>
      <c r="G843" s="33" t="s">
        <v>885</v>
      </c>
      <c r="H843" s="33" t="s">
        <v>603</v>
      </c>
      <c r="I843" s="36" t="s">
        <v>555</v>
      </c>
      <c r="J843" s="36" t="s">
        <v>875</v>
      </c>
      <c r="K843" s="36" t="s">
        <v>1196</v>
      </c>
      <c r="L843" s="37">
        <v>0</v>
      </c>
      <c r="M843" s="271">
        <v>0</v>
      </c>
      <c r="N843" s="34"/>
      <c r="O843" s="34" t="s">
        <v>1181</v>
      </c>
      <c r="P843" s="272" t="s">
        <v>1171</v>
      </c>
    </row>
    <row r="844" spans="1:22" x14ac:dyDescent="0.25">
      <c r="A844" s="270" t="s">
        <v>411</v>
      </c>
      <c r="B844" s="31" t="s">
        <v>410</v>
      </c>
      <c r="C844" s="31" t="s">
        <v>418</v>
      </c>
      <c r="D844" s="31" t="s">
        <v>600</v>
      </c>
      <c r="E844" s="31" t="s">
        <v>232</v>
      </c>
      <c r="F844" s="35" t="s">
        <v>367</v>
      </c>
      <c r="G844" s="33" t="s">
        <v>885</v>
      </c>
      <c r="H844" s="33" t="s">
        <v>603</v>
      </c>
      <c r="I844" s="36" t="s">
        <v>555</v>
      </c>
      <c r="J844" s="36" t="s">
        <v>875</v>
      </c>
      <c r="K844" s="36" t="s">
        <v>1196</v>
      </c>
      <c r="L844" s="37">
        <v>0</v>
      </c>
      <c r="M844" s="271">
        <v>0</v>
      </c>
      <c r="N844" s="34"/>
      <c r="O844" s="34" t="s">
        <v>1181</v>
      </c>
      <c r="P844" s="272" t="s">
        <v>1172</v>
      </c>
    </row>
    <row r="845" spans="1:22" x14ac:dyDescent="0.25">
      <c r="A845" s="270" t="s">
        <v>411</v>
      </c>
      <c r="B845" s="31" t="s">
        <v>410</v>
      </c>
      <c r="C845" s="31" t="s">
        <v>418</v>
      </c>
      <c r="D845" s="31" t="s">
        <v>600</v>
      </c>
      <c r="E845" s="31" t="s">
        <v>232</v>
      </c>
      <c r="F845" s="35" t="s">
        <v>367</v>
      </c>
      <c r="G845" s="33" t="s">
        <v>885</v>
      </c>
      <c r="H845" s="33" t="s">
        <v>603</v>
      </c>
      <c r="I845" s="36" t="s">
        <v>555</v>
      </c>
      <c r="J845" s="36" t="s">
        <v>875</v>
      </c>
      <c r="K845" s="36" t="s">
        <v>1196</v>
      </c>
      <c r="L845" s="37">
        <v>0</v>
      </c>
      <c r="M845" s="271">
        <v>0</v>
      </c>
      <c r="N845" s="34"/>
      <c r="O845" s="34" t="s">
        <v>1182</v>
      </c>
      <c r="P845" s="272" t="s">
        <v>1169</v>
      </c>
    </row>
    <row r="846" spans="1:22" x14ac:dyDescent="0.25">
      <c r="A846" s="270" t="s">
        <v>411</v>
      </c>
      <c r="B846" s="31" t="s">
        <v>410</v>
      </c>
      <c r="C846" s="31" t="s">
        <v>418</v>
      </c>
      <c r="D846" s="31" t="s">
        <v>600</v>
      </c>
      <c r="E846" s="31" t="s">
        <v>233</v>
      </c>
      <c r="F846" s="35" t="s">
        <v>463</v>
      </c>
      <c r="G846" s="33" t="s">
        <v>929</v>
      </c>
      <c r="H846" s="33" t="s">
        <v>602</v>
      </c>
      <c r="I846" s="36" t="s">
        <v>552</v>
      </c>
      <c r="J846" s="36" t="s">
        <v>591</v>
      </c>
      <c r="K846" s="36" t="s">
        <v>948</v>
      </c>
      <c r="L846" s="37">
        <v>84000</v>
      </c>
      <c r="M846" s="271">
        <v>84000</v>
      </c>
      <c r="N846" s="34" t="s">
        <v>929</v>
      </c>
      <c r="O846" s="34" t="s">
        <v>948</v>
      </c>
      <c r="P846" s="272" t="s">
        <v>1330</v>
      </c>
      <c r="R846" s="271"/>
      <c r="S846" s="155"/>
      <c r="T846" s="280"/>
      <c r="V846" s="281"/>
    </row>
    <row r="847" spans="1:22" x14ac:dyDescent="0.25">
      <c r="A847" s="270" t="s">
        <v>411</v>
      </c>
      <c r="B847" s="31" t="s">
        <v>410</v>
      </c>
      <c r="C847" s="31" t="s">
        <v>418</v>
      </c>
      <c r="D847" s="31" t="s">
        <v>600</v>
      </c>
      <c r="E847" s="31" t="s">
        <v>233</v>
      </c>
      <c r="F847" s="35" t="s">
        <v>463</v>
      </c>
      <c r="G847" s="33" t="s">
        <v>929</v>
      </c>
      <c r="H847" s="33" t="s">
        <v>602</v>
      </c>
      <c r="I847" s="36" t="s">
        <v>552</v>
      </c>
      <c r="J847" s="36" t="s">
        <v>591</v>
      </c>
      <c r="K847" s="36" t="s">
        <v>572</v>
      </c>
      <c r="L847" s="37">
        <v>84000</v>
      </c>
      <c r="M847" s="271">
        <v>84000</v>
      </c>
      <c r="N847" s="34" t="s">
        <v>929</v>
      </c>
      <c r="O847" s="34" t="s">
        <v>572</v>
      </c>
      <c r="P847" s="272" t="s">
        <v>1331</v>
      </c>
      <c r="R847" s="271"/>
      <c r="S847" s="155"/>
      <c r="T847" s="280"/>
      <c r="V847" s="281"/>
    </row>
    <row r="848" spans="1:22" x14ac:dyDescent="0.25">
      <c r="A848" s="270" t="s">
        <v>411</v>
      </c>
      <c r="B848" s="31" t="s">
        <v>410</v>
      </c>
      <c r="C848" s="31" t="s">
        <v>418</v>
      </c>
      <c r="D848" s="31" t="s">
        <v>600</v>
      </c>
      <c r="E848" s="31" t="s">
        <v>233</v>
      </c>
      <c r="F848" s="35" t="s">
        <v>463</v>
      </c>
      <c r="G848" s="33" t="s">
        <v>506</v>
      </c>
      <c r="H848" s="33" t="s">
        <v>603</v>
      </c>
      <c r="I848" s="36" t="s">
        <v>552</v>
      </c>
      <c r="J848" s="36" t="s">
        <v>580</v>
      </c>
      <c r="K848" s="36" t="s">
        <v>1056</v>
      </c>
      <c r="L848" s="37">
        <v>62000</v>
      </c>
      <c r="M848" s="271">
        <v>60000</v>
      </c>
      <c r="N848" s="34"/>
      <c r="O848" s="34" t="s">
        <v>1057</v>
      </c>
      <c r="P848" s="272" t="s">
        <v>1222</v>
      </c>
      <c r="R848" s="271"/>
      <c r="S848" s="155"/>
      <c r="T848" s="280"/>
      <c r="V848" s="281"/>
    </row>
    <row r="849" spans="1:22" x14ac:dyDescent="0.25">
      <c r="A849" s="270" t="s">
        <v>411</v>
      </c>
      <c r="B849" s="31" t="s">
        <v>410</v>
      </c>
      <c r="C849" s="31" t="s">
        <v>418</v>
      </c>
      <c r="D849" s="31" t="s">
        <v>600</v>
      </c>
      <c r="E849" s="31" t="s">
        <v>233</v>
      </c>
      <c r="F849" s="35" t="s">
        <v>463</v>
      </c>
      <c r="G849" s="33" t="s">
        <v>505</v>
      </c>
      <c r="H849" s="33" t="s">
        <v>603</v>
      </c>
      <c r="I849" s="36" t="s">
        <v>552</v>
      </c>
      <c r="J849" s="36" t="s">
        <v>580</v>
      </c>
      <c r="K849" s="36" t="s">
        <v>1056</v>
      </c>
      <c r="L849" s="37">
        <v>58000</v>
      </c>
      <c r="M849" s="271">
        <v>58000</v>
      </c>
      <c r="N849" s="34"/>
      <c r="O849" s="34" t="s">
        <v>1058</v>
      </c>
      <c r="P849" s="272" t="s">
        <v>1223</v>
      </c>
      <c r="R849" s="271"/>
      <c r="S849" s="155"/>
      <c r="T849" s="280"/>
      <c r="V849" s="281"/>
    </row>
    <row r="850" spans="1:22" x14ac:dyDescent="0.25">
      <c r="A850" s="270" t="s">
        <v>411</v>
      </c>
      <c r="B850" s="31" t="s">
        <v>410</v>
      </c>
      <c r="C850" s="31" t="s">
        <v>418</v>
      </c>
      <c r="D850" s="31" t="s">
        <v>600</v>
      </c>
      <c r="E850" s="31" t="s">
        <v>233</v>
      </c>
      <c r="F850" s="35" t="s">
        <v>463</v>
      </c>
      <c r="G850" s="33" t="s">
        <v>507</v>
      </c>
      <c r="H850" s="33" t="s">
        <v>603</v>
      </c>
      <c r="I850" s="36" t="s">
        <v>552</v>
      </c>
      <c r="J850" s="36" t="s">
        <v>580</v>
      </c>
      <c r="K850" s="36" t="s">
        <v>1056</v>
      </c>
      <c r="L850" s="37">
        <v>60000</v>
      </c>
      <c r="M850" s="271">
        <v>56000</v>
      </c>
      <c r="N850" s="34"/>
      <c r="O850" s="34" t="s">
        <v>1055</v>
      </c>
      <c r="P850" s="272" t="s">
        <v>1224</v>
      </c>
      <c r="R850" s="271"/>
      <c r="S850" s="155"/>
      <c r="T850" s="280"/>
      <c r="V850" s="281"/>
    </row>
    <row r="851" spans="1:22" x14ac:dyDescent="0.25">
      <c r="A851" s="270" t="s">
        <v>411</v>
      </c>
      <c r="B851" s="31" t="s">
        <v>410</v>
      </c>
      <c r="C851" s="31" t="s">
        <v>418</v>
      </c>
      <c r="D851" s="31" t="s">
        <v>600</v>
      </c>
      <c r="E851" s="31" t="s">
        <v>233</v>
      </c>
      <c r="F851" s="35" t="s">
        <v>463</v>
      </c>
      <c r="G851" s="33" t="s">
        <v>1136</v>
      </c>
      <c r="H851" s="33" t="s">
        <v>603</v>
      </c>
      <c r="I851" s="36" t="s">
        <v>552</v>
      </c>
      <c r="J851" s="36" t="s">
        <v>580</v>
      </c>
      <c r="K851" s="36" t="s">
        <v>503</v>
      </c>
      <c r="L851" s="37">
        <f>(20000+30000)*2</f>
        <v>100000</v>
      </c>
      <c r="M851" s="271">
        <v>90000</v>
      </c>
      <c r="N851" s="34"/>
      <c r="O851" s="34" t="s">
        <v>1126</v>
      </c>
      <c r="P851" s="272" t="s">
        <v>1225</v>
      </c>
      <c r="R851" s="271"/>
      <c r="S851" s="155"/>
      <c r="T851" s="280"/>
      <c r="V851" s="281"/>
    </row>
    <row r="852" spans="1:22" x14ac:dyDescent="0.25">
      <c r="A852" s="270" t="s">
        <v>411</v>
      </c>
      <c r="B852" s="31" t="s">
        <v>410</v>
      </c>
      <c r="C852" s="31" t="s">
        <v>418</v>
      </c>
      <c r="D852" s="31" t="s">
        <v>600</v>
      </c>
      <c r="E852" s="31" t="s">
        <v>233</v>
      </c>
      <c r="F852" s="35" t="s">
        <v>463</v>
      </c>
      <c r="G852" s="33" t="s">
        <v>1136</v>
      </c>
      <c r="H852" s="33" t="s">
        <v>603</v>
      </c>
      <c r="I852" s="36" t="s">
        <v>552</v>
      </c>
      <c r="J852" s="36" t="s">
        <v>580</v>
      </c>
      <c r="K852" s="36" t="s">
        <v>503</v>
      </c>
      <c r="L852" s="37">
        <v>104000</v>
      </c>
      <c r="M852" s="271">
        <v>100000</v>
      </c>
      <c r="N852" s="34"/>
      <c r="O852" s="34" t="s">
        <v>503</v>
      </c>
      <c r="P852" s="272" t="s">
        <v>1226</v>
      </c>
      <c r="R852" s="271"/>
      <c r="S852" s="155"/>
      <c r="T852" s="280"/>
      <c r="V852" s="281"/>
    </row>
    <row r="853" spans="1:22" x14ac:dyDescent="0.25">
      <c r="A853" s="270" t="s">
        <v>411</v>
      </c>
      <c r="B853" s="31" t="s">
        <v>410</v>
      </c>
      <c r="C853" s="31" t="s">
        <v>418</v>
      </c>
      <c r="D853" s="31" t="s">
        <v>600</v>
      </c>
      <c r="E853" s="31" t="s">
        <v>233</v>
      </c>
      <c r="F853" s="35" t="s">
        <v>463</v>
      </c>
      <c r="G853" s="33" t="s">
        <v>1130</v>
      </c>
      <c r="H853" s="33" t="s">
        <v>603</v>
      </c>
      <c r="I853" s="36" t="s">
        <v>552</v>
      </c>
      <c r="J853" s="36" t="s">
        <v>580</v>
      </c>
      <c r="K853" s="36" t="s">
        <v>504</v>
      </c>
      <c r="L853" s="37">
        <f>(20000+30000)*2</f>
        <v>100000</v>
      </c>
      <c r="M853" s="271">
        <v>90000</v>
      </c>
      <c r="N853" s="34"/>
      <c r="O853" s="34" t="s">
        <v>1126</v>
      </c>
      <c r="P853" s="272" t="s">
        <v>1225</v>
      </c>
      <c r="R853" s="271"/>
      <c r="S853" s="155"/>
      <c r="T853" s="280"/>
      <c r="V853" s="281"/>
    </row>
    <row r="854" spans="1:22" x14ac:dyDescent="0.25">
      <c r="A854" s="270" t="s">
        <v>411</v>
      </c>
      <c r="B854" s="31" t="s">
        <v>410</v>
      </c>
      <c r="C854" s="31" t="s">
        <v>418</v>
      </c>
      <c r="D854" s="31" t="s">
        <v>600</v>
      </c>
      <c r="E854" s="31" t="s">
        <v>233</v>
      </c>
      <c r="F854" s="35" t="s">
        <v>463</v>
      </c>
      <c r="G854" s="33" t="s">
        <v>1130</v>
      </c>
      <c r="H854" s="33" t="s">
        <v>603</v>
      </c>
      <c r="I854" s="36" t="s">
        <v>552</v>
      </c>
      <c r="J854" s="36" t="s">
        <v>580</v>
      </c>
      <c r="K854" s="36" t="s">
        <v>504</v>
      </c>
      <c r="L854" s="37">
        <v>78000</v>
      </c>
      <c r="M854" s="271">
        <v>74000</v>
      </c>
      <c r="N854" s="34"/>
      <c r="O854" s="34" t="s">
        <v>504</v>
      </c>
      <c r="P854" s="272" t="s">
        <v>1227</v>
      </c>
      <c r="R854" s="271"/>
      <c r="S854" s="155"/>
      <c r="T854" s="280"/>
      <c r="V854" s="281"/>
    </row>
    <row r="855" spans="1:22" x14ac:dyDescent="0.25">
      <c r="A855" s="270" t="s">
        <v>411</v>
      </c>
      <c r="B855" s="31" t="s">
        <v>410</v>
      </c>
      <c r="C855" s="31" t="s">
        <v>418</v>
      </c>
      <c r="D855" s="31" t="s">
        <v>600</v>
      </c>
      <c r="E855" s="31" t="s">
        <v>233</v>
      </c>
      <c r="F855" s="35" t="s">
        <v>463</v>
      </c>
      <c r="G855" s="33" t="s">
        <v>1130</v>
      </c>
      <c r="H855" s="33" t="s">
        <v>603</v>
      </c>
      <c r="I855" s="36" t="s">
        <v>552</v>
      </c>
      <c r="J855" s="36" t="s">
        <v>580</v>
      </c>
      <c r="K855" s="36" t="s">
        <v>505</v>
      </c>
      <c r="L855" s="37">
        <v>100000</v>
      </c>
      <c r="M855" s="271">
        <v>90000</v>
      </c>
      <c r="N855" s="34"/>
      <c r="O855" s="34" t="s">
        <v>1126</v>
      </c>
      <c r="P855" s="272" t="s">
        <v>1225</v>
      </c>
      <c r="R855" s="271"/>
      <c r="S855" s="155"/>
      <c r="T855" s="280"/>
      <c r="V855" s="281"/>
    </row>
    <row r="856" spans="1:22" x14ac:dyDescent="0.25">
      <c r="A856" s="270" t="s">
        <v>411</v>
      </c>
      <c r="B856" s="31" t="s">
        <v>410</v>
      </c>
      <c r="C856" s="31" t="s">
        <v>418</v>
      </c>
      <c r="D856" s="31" t="s">
        <v>600</v>
      </c>
      <c r="E856" s="31" t="s">
        <v>233</v>
      </c>
      <c r="F856" s="35" t="s">
        <v>463</v>
      </c>
      <c r="G856" s="33" t="s">
        <v>1124</v>
      </c>
      <c r="H856" s="33" t="s">
        <v>603</v>
      </c>
      <c r="I856" s="36" t="s">
        <v>552</v>
      </c>
      <c r="J856" s="36" t="s">
        <v>580</v>
      </c>
      <c r="K856" s="36" t="s">
        <v>505</v>
      </c>
      <c r="L856" s="37">
        <v>78000</v>
      </c>
      <c r="M856" s="271">
        <v>74000</v>
      </c>
      <c r="N856" s="34"/>
      <c r="O856" s="34" t="s">
        <v>505</v>
      </c>
      <c r="P856" s="272" t="s">
        <v>1228</v>
      </c>
      <c r="R856" s="271"/>
      <c r="S856" s="155"/>
      <c r="T856" s="280"/>
      <c r="V856" s="281"/>
    </row>
    <row r="857" spans="1:22" x14ac:dyDescent="0.25">
      <c r="A857" s="270" t="s">
        <v>411</v>
      </c>
      <c r="B857" s="31" t="s">
        <v>410</v>
      </c>
      <c r="C857" s="31" t="s">
        <v>418</v>
      </c>
      <c r="D857" s="31" t="s">
        <v>600</v>
      </c>
      <c r="E857" s="31" t="s">
        <v>233</v>
      </c>
      <c r="F857" s="35" t="s">
        <v>463</v>
      </c>
      <c r="G857" s="33" t="s">
        <v>1137</v>
      </c>
      <c r="H857" s="33" t="s">
        <v>603</v>
      </c>
      <c r="I857" s="36" t="s">
        <v>552</v>
      </c>
      <c r="J857" s="36" t="s">
        <v>580</v>
      </c>
      <c r="K857" s="36" t="s">
        <v>506</v>
      </c>
      <c r="L857" s="37">
        <f>(20000+30000)*2</f>
        <v>100000</v>
      </c>
      <c r="M857" s="271">
        <v>90000</v>
      </c>
      <c r="N857" s="34"/>
      <c r="O857" s="34" t="s">
        <v>1126</v>
      </c>
      <c r="P857" s="272" t="s">
        <v>1225</v>
      </c>
      <c r="R857" s="271"/>
      <c r="S857" s="155"/>
      <c r="T857" s="280"/>
      <c r="V857" s="281"/>
    </row>
    <row r="858" spans="1:22" x14ac:dyDescent="0.25">
      <c r="A858" s="270" t="s">
        <v>411</v>
      </c>
      <c r="B858" s="31" t="s">
        <v>410</v>
      </c>
      <c r="C858" s="31" t="s">
        <v>418</v>
      </c>
      <c r="D858" s="31" t="s">
        <v>600</v>
      </c>
      <c r="E858" s="31" t="s">
        <v>233</v>
      </c>
      <c r="F858" s="35" t="s">
        <v>463</v>
      </c>
      <c r="G858" s="33" t="s">
        <v>1137</v>
      </c>
      <c r="H858" s="33" t="s">
        <v>603</v>
      </c>
      <c r="I858" s="36" t="s">
        <v>552</v>
      </c>
      <c r="J858" s="36" t="s">
        <v>580</v>
      </c>
      <c r="K858" s="36" t="s">
        <v>506</v>
      </c>
      <c r="L858" s="37">
        <v>104000</v>
      </c>
      <c r="M858" s="271">
        <v>100000</v>
      </c>
      <c r="N858" s="34"/>
      <c r="O858" s="34" t="s">
        <v>506</v>
      </c>
      <c r="P858" s="272" t="s">
        <v>1229</v>
      </c>
      <c r="R858" s="271"/>
      <c r="S858" s="155"/>
      <c r="T858" s="280"/>
      <c r="V858" s="281"/>
    </row>
    <row r="859" spans="1:22" x14ac:dyDescent="0.25">
      <c r="A859" s="270" t="s">
        <v>411</v>
      </c>
      <c r="B859" s="31" t="s">
        <v>410</v>
      </c>
      <c r="C859" s="31" t="s">
        <v>418</v>
      </c>
      <c r="D859" s="31" t="s">
        <v>600</v>
      </c>
      <c r="E859" s="31" t="s">
        <v>233</v>
      </c>
      <c r="F859" s="35" t="s">
        <v>463</v>
      </c>
      <c r="G859" s="33" t="s">
        <v>1140</v>
      </c>
      <c r="H859" s="33" t="s">
        <v>603</v>
      </c>
      <c r="I859" s="36" t="s">
        <v>552</v>
      </c>
      <c r="J859" s="36" t="s">
        <v>580</v>
      </c>
      <c r="K859" s="36" t="s">
        <v>507</v>
      </c>
      <c r="L859" s="37">
        <f>(20000+30000)*2</f>
        <v>100000</v>
      </c>
      <c r="M859" s="271">
        <v>90000</v>
      </c>
      <c r="N859" s="34"/>
      <c r="O859" s="34" t="s">
        <v>1126</v>
      </c>
      <c r="P859" s="272" t="s">
        <v>1225</v>
      </c>
      <c r="R859" s="271"/>
      <c r="S859" s="155"/>
      <c r="T859" s="280"/>
      <c r="V859" s="281"/>
    </row>
    <row r="860" spans="1:22" x14ac:dyDescent="0.25">
      <c r="A860" s="270" t="s">
        <v>411</v>
      </c>
      <c r="B860" s="31" t="s">
        <v>410</v>
      </c>
      <c r="C860" s="31" t="s">
        <v>418</v>
      </c>
      <c r="D860" s="31" t="s">
        <v>600</v>
      </c>
      <c r="E860" s="31" t="s">
        <v>233</v>
      </c>
      <c r="F860" s="35" t="s">
        <v>463</v>
      </c>
      <c r="G860" s="33" t="s">
        <v>1140</v>
      </c>
      <c r="H860" s="33" t="s">
        <v>603</v>
      </c>
      <c r="I860" s="36" t="s">
        <v>552</v>
      </c>
      <c r="J860" s="36" t="s">
        <v>580</v>
      </c>
      <c r="K860" s="36" t="s">
        <v>507</v>
      </c>
      <c r="L860" s="37">
        <v>104000</v>
      </c>
      <c r="M860" s="271">
        <v>100000</v>
      </c>
      <c r="N860" s="34"/>
      <c r="O860" s="34" t="s">
        <v>507</v>
      </c>
      <c r="P860" s="272" t="s">
        <v>1230</v>
      </c>
      <c r="R860" s="271"/>
      <c r="S860" s="155"/>
      <c r="T860" s="280"/>
      <c r="V860" s="281"/>
    </row>
    <row r="861" spans="1:22" x14ac:dyDescent="0.25">
      <c r="A861" s="270" t="s">
        <v>411</v>
      </c>
      <c r="B861" s="31" t="s">
        <v>410</v>
      </c>
      <c r="C861" s="31" t="s">
        <v>418</v>
      </c>
      <c r="D861" s="31" t="s">
        <v>600</v>
      </c>
      <c r="E861" s="31" t="s">
        <v>233</v>
      </c>
      <c r="F861" s="35" t="s">
        <v>463</v>
      </c>
      <c r="G861" s="33" t="s">
        <v>1154</v>
      </c>
      <c r="H861" s="33" t="s">
        <v>603</v>
      </c>
      <c r="I861" s="36" t="s">
        <v>552</v>
      </c>
      <c r="J861" s="36" t="s">
        <v>580</v>
      </c>
      <c r="K861" s="36" t="s">
        <v>502</v>
      </c>
      <c r="L861" s="37">
        <v>882000</v>
      </c>
      <c r="M861" s="271">
        <v>840000</v>
      </c>
      <c r="N861" s="34"/>
      <c r="O861" s="34" t="s">
        <v>502</v>
      </c>
      <c r="P861" s="272" t="s">
        <v>1231</v>
      </c>
      <c r="R861" s="271"/>
      <c r="S861" s="155"/>
      <c r="T861" s="280"/>
      <c r="V861" s="281"/>
    </row>
    <row r="862" spans="1:22" x14ac:dyDescent="0.25">
      <c r="A862" s="270" t="s">
        <v>411</v>
      </c>
      <c r="B862" s="31" t="s">
        <v>410</v>
      </c>
      <c r="C862" s="31" t="s">
        <v>418</v>
      </c>
      <c r="D862" s="31" t="s">
        <v>600</v>
      </c>
      <c r="E862" s="31" t="s">
        <v>233</v>
      </c>
      <c r="F862" s="35" t="s">
        <v>463</v>
      </c>
      <c r="G862" s="33" t="s">
        <v>1151</v>
      </c>
      <c r="H862" s="33" t="s">
        <v>603</v>
      </c>
      <c r="I862" s="36" t="s">
        <v>553</v>
      </c>
      <c r="J862" s="36" t="s">
        <v>581</v>
      </c>
      <c r="K862" s="36" t="s">
        <v>516</v>
      </c>
      <c r="L862" s="37">
        <v>48000</v>
      </c>
      <c r="M862" s="271">
        <v>44000</v>
      </c>
      <c r="N862" s="34"/>
      <c r="O862" s="34" t="s">
        <v>516</v>
      </c>
      <c r="P862" s="272" t="s">
        <v>1232</v>
      </c>
      <c r="R862" s="271"/>
      <c r="S862" s="155"/>
      <c r="T862" s="280"/>
      <c r="V862" s="281"/>
    </row>
    <row r="863" spans="1:22" x14ac:dyDescent="0.25">
      <c r="A863" s="270" t="s">
        <v>411</v>
      </c>
      <c r="B863" s="31" t="s">
        <v>410</v>
      </c>
      <c r="C863" s="31" t="s">
        <v>418</v>
      </c>
      <c r="D863" s="31" t="s">
        <v>600</v>
      </c>
      <c r="E863" s="31" t="s">
        <v>233</v>
      </c>
      <c r="F863" s="35" t="s">
        <v>463</v>
      </c>
      <c r="G863" s="33" t="s">
        <v>512</v>
      </c>
      <c r="H863" s="33" t="s">
        <v>603</v>
      </c>
      <c r="I863" s="36" t="s">
        <v>555</v>
      </c>
      <c r="J863" s="36" t="s">
        <v>578</v>
      </c>
      <c r="K863" s="36" t="s">
        <v>511</v>
      </c>
      <c r="L863" s="37">
        <v>154000</v>
      </c>
      <c r="M863" s="271">
        <v>154000</v>
      </c>
      <c r="N863" s="34"/>
      <c r="O863" s="34"/>
      <c r="P863" s="272" t="s">
        <v>1233</v>
      </c>
      <c r="R863" s="271"/>
      <c r="S863" s="155"/>
      <c r="T863" s="280"/>
      <c r="V863" s="281"/>
    </row>
    <row r="864" spans="1:22" x14ac:dyDescent="0.25">
      <c r="A864" s="270" t="s">
        <v>411</v>
      </c>
      <c r="B864" s="31" t="s">
        <v>410</v>
      </c>
      <c r="C864" s="31" t="s">
        <v>418</v>
      </c>
      <c r="D864" s="31" t="s">
        <v>600</v>
      </c>
      <c r="E864" s="31" t="s">
        <v>233</v>
      </c>
      <c r="F864" s="35" t="s">
        <v>463</v>
      </c>
      <c r="G864" s="33" t="s">
        <v>498</v>
      </c>
      <c r="H864" s="33" t="s">
        <v>603</v>
      </c>
      <c r="I864" s="36" t="s">
        <v>555</v>
      </c>
      <c r="J864" s="36" t="s">
        <v>579</v>
      </c>
      <c r="K864" s="36" t="s">
        <v>587</v>
      </c>
      <c r="L864" s="37">
        <v>30000</v>
      </c>
      <c r="M864" s="271">
        <v>30000</v>
      </c>
      <c r="N864" s="34"/>
      <c r="O864" s="34"/>
      <c r="P864" s="272" t="s">
        <v>1234</v>
      </c>
      <c r="R864" s="271"/>
      <c r="S864" s="155"/>
      <c r="T864" s="280"/>
      <c r="V864" s="281"/>
    </row>
    <row r="865" spans="1:22" x14ac:dyDescent="0.25">
      <c r="A865" s="270" t="s">
        <v>411</v>
      </c>
      <c r="B865" s="31" t="s">
        <v>410</v>
      </c>
      <c r="C865" s="31" t="s">
        <v>418</v>
      </c>
      <c r="D865" s="31" t="s">
        <v>600</v>
      </c>
      <c r="E865" s="31" t="s">
        <v>233</v>
      </c>
      <c r="F865" s="35" t="s">
        <v>463</v>
      </c>
      <c r="G865" s="33" t="s">
        <v>501</v>
      </c>
      <c r="H865" s="33" t="s">
        <v>603</v>
      </c>
      <c r="I865" s="36" t="s">
        <v>555</v>
      </c>
      <c r="J865" s="36" t="s">
        <v>577</v>
      </c>
      <c r="K865" s="36" t="s">
        <v>1059</v>
      </c>
      <c r="L865" s="37">
        <v>216000</v>
      </c>
      <c r="M865" s="271">
        <v>210000</v>
      </c>
      <c r="N865" s="34"/>
      <c r="O865" s="34" t="s">
        <v>1061</v>
      </c>
      <c r="P865" s="272" t="s">
        <v>1235</v>
      </c>
      <c r="R865" s="271"/>
      <c r="S865" s="155"/>
      <c r="T865" s="280"/>
      <c r="V865" s="281"/>
    </row>
    <row r="866" spans="1:22" x14ac:dyDescent="0.25">
      <c r="A866" s="270" t="s">
        <v>411</v>
      </c>
      <c r="B866" s="31" t="s">
        <v>410</v>
      </c>
      <c r="C866" s="31" t="s">
        <v>418</v>
      </c>
      <c r="D866" s="31" t="s">
        <v>600</v>
      </c>
      <c r="E866" s="31" t="s">
        <v>233</v>
      </c>
      <c r="F866" s="32" t="s">
        <v>463</v>
      </c>
      <c r="G866" s="33" t="s">
        <v>1082</v>
      </c>
      <c r="H866" s="33" t="s">
        <v>603</v>
      </c>
      <c r="I866" s="36" t="s">
        <v>555</v>
      </c>
      <c r="J866" s="36" t="s">
        <v>577</v>
      </c>
      <c r="K866" s="36" t="s">
        <v>1059</v>
      </c>
      <c r="L866" s="37">
        <v>48000</v>
      </c>
      <c r="M866" s="271">
        <v>48000</v>
      </c>
      <c r="N866" s="34"/>
      <c r="O866" s="34" t="s">
        <v>1083</v>
      </c>
      <c r="P866" s="272" t="s">
        <v>1236</v>
      </c>
      <c r="R866" s="271"/>
      <c r="S866" s="155"/>
      <c r="T866" s="280"/>
      <c r="V866" s="281"/>
    </row>
    <row r="867" spans="1:22" x14ac:dyDescent="0.25">
      <c r="A867" s="270" t="s">
        <v>411</v>
      </c>
      <c r="B867" s="31" t="s">
        <v>410</v>
      </c>
      <c r="C867" s="31" t="s">
        <v>418</v>
      </c>
      <c r="D867" s="31" t="s">
        <v>600</v>
      </c>
      <c r="E867" s="31" t="s">
        <v>233</v>
      </c>
      <c r="F867" s="32" t="s">
        <v>463</v>
      </c>
      <c r="G867" s="33" t="s">
        <v>1067</v>
      </c>
      <c r="H867" s="33" t="s">
        <v>603</v>
      </c>
      <c r="I867" s="36" t="s">
        <v>555</v>
      </c>
      <c r="J867" s="36" t="s">
        <v>577</v>
      </c>
      <c r="K867" s="36" t="s">
        <v>589</v>
      </c>
      <c r="L867" s="37">
        <v>2380000</v>
      </c>
      <c r="M867" s="271">
        <v>2300000</v>
      </c>
      <c r="N867" s="34"/>
      <c r="O867" s="34" t="s">
        <v>1076</v>
      </c>
      <c r="P867" s="272" t="s">
        <v>1237</v>
      </c>
      <c r="R867" s="271"/>
      <c r="S867" s="155"/>
      <c r="T867" s="280"/>
      <c r="V867" s="281"/>
    </row>
    <row r="868" spans="1:22" x14ac:dyDescent="0.25">
      <c r="A868" s="270" t="s">
        <v>411</v>
      </c>
      <c r="B868" s="31" t="s">
        <v>410</v>
      </c>
      <c r="C868" s="31" t="s">
        <v>418</v>
      </c>
      <c r="D868" s="31" t="s">
        <v>600</v>
      </c>
      <c r="E868" s="31" t="s">
        <v>233</v>
      </c>
      <c r="F868" s="35" t="s">
        <v>463</v>
      </c>
      <c r="G868" s="33" t="s">
        <v>1158</v>
      </c>
      <c r="H868" s="33" t="s">
        <v>603</v>
      </c>
      <c r="I868" s="36" t="s">
        <v>555</v>
      </c>
      <c r="J868" s="36" t="s">
        <v>577</v>
      </c>
      <c r="K868" s="36" t="s">
        <v>532</v>
      </c>
      <c r="L868" s="37">
        <v>308000</v>
      </c>
      <c r="M868" s="271">
        <v>300000</v>
      </c>
      <c r="N868" s="34"/>
      <c r="O868" s="34" t="s">
        <v>532</v>
      </c>
      <c r="P868" s="272" t="s">
        <v>1238</v>
      </c>
      <c r="R868" s="271"/>
      <c r="S868" s="155"/>
      <c r="T868" s="280"/>
      <c r="V868" s="281"/>
    </row>
    <row r="869" spans="1:22" x14ac:dyDescent="0.25">
      <c r="A869" s="270" t="s">
        <v>411</v>
      </c>
      <c r="B869" s="31" t="s">
        <v>410</v>
      </c>
      <c r="C869" s="31" t="s">
        <v>418</v>
      </c>
      <c r="D869" s="31" t="s">
        <v>600</v>
      </c>
      <c r="E869" s="31" t="s">
        <v>233</v>
      </c>
      <c r="F869" s="32" t="s">
        <v>463</v>
      </c>
      <c r="G869" s="33" t="s">
        <v>1077</v>
      </c>
      <c r="H869" s="33" t="s">
        <v>603</v>
      </c>
      <c r="I869" s="36" t="s">
        <v>555</v>
      </c>
      <c r="J869" s="36" t="s">
        <v>577</v>
      </c>
      <c r="K869" s="36" t="s">
        <v>509</v>
      </c>
      <c r="L869" s="37">
        <v>8000</v>
      </c>
      <c r="M869" s="271">
        <v>6000</v>
      </c>
      <c r="N869" s="34"/>
      <c r="O869" s="34" t="s">
        <v>1078</v>
      </c>
      <c r="P869" s="272" t="s">
        <v>1239</v>
      </c>
      <c r="R869" s="271"/>
      <c r="S869" s="155"/>
      <c r="T869" s="280"/>
      <c r="V869" s="281"/>
    </row>
    <row r="870" spans="1:22" x14ac:dyDescent="0.25">
      <c r="A870" s="270" t="s">
        <v>411</v>
      </c>
      <c r="B870" s="31" t="s">
        <v>410</v>
      </c>
      <c r="C870" s="31" t="s">
        <v>418</v>
      </c>
      <c r="D870" s="31" t="s">
        <v>600</v>
      </c>
      <c r="E870" s="31" t="s">
        <v>233</v>
      </c>
      <c r="F870" s="35" t="s">
        <v>463</v>
      </c>
      <c r="G870" s="33" t="s">
        <v>1146</v>
      </c>
      <c r="H870" s="33" t="s">
        <v>603</v>
      </c>
      <c r="I870" s="36" t="s">
        <v>555</v>
      </c>
      <c r="J870" s="36" t="s">
        <v>577</v>
      </c>
      <c r="K870" s="36" t="s">
        <v>501</v>
      </c>
      <c r="L870" s="37">
        <v>200000</v>
      </c>
      <c r="M870" s="271">
        <v>180000</v>
      </c>
      <c r="N870" s="34"/>
      <c r="O870" s="34" t="s">
        <v>501</v>
      </c>
      <c r="P870" s="272" t="s">
        <v>1240</v>
      </c>
      <c r="R870" s="271"/>
      <c r="S870" s="155"/>
      <c r="T870" s="280"/>
      <c r="V870" s="281"/>
    </row>
    <row r="871" spans="1:22" x14ac:dyDescent="0.25">
      <c r="A871" s="270" t="s">
        <v>411</v>
      </c>
      <c r="B871" s="31" t="s">
        <v>410</v>
      </c>
      <c r="C871" s="31" t="s">
        <v>418</v>
      </c>
      <c r="D871" s="31" t="s">
        <v>600</v>
      </c>
      <c r="E871" s="31" t="s">
        <v>233</v>
      </c>
      <c r="F871" s="32" t="s">
        <v>463</v>
      </c>
      <c r="G871" s="33" t="s">
        <v>1068</v>
      </c>
      <c r="H871" s="33" t="s">
        <v>603</v>
      </c>
      <c r="I871" s="36" t="s">
        <v>555</v>
      </c>
      <c r="J871" s="36" t="s">
        <v>577</v>
      </c>
      <c r="K871" s="36" t="s">
        <v>510</v>
      </c>
      <c r="L871" s="37">
        <v>468000</v>
      </c>
      <c r="M871" s="271">
        <v>450000</v>
      </c>
      <c r="N871" s="34"/>
      <c r="O871" s="34" t="s">
        <v>1070</v>
      </c>
      <c r="P871" s="272" t="s">
        <v>1241</v>
      </c>
      <c r="R871" s="271"/>
      <c r="S871" s="155"/>
      <c r="T871" s="280"/>
      <c r="V871" s="281"/>
    </row>
    <row r="872" spans="1:22" x14ac:dyDescent="0.25">
      <c r="A872" s="270" t="s">
        <v>411</v>
      </c>
      <c r="B872" s="31" t="s">
        <v>410</v>
      </c>
      <c r="C872" s="31" t="s">
        <v>418</v>
      </c>
      <c r="D872" s="31" t="s">
        <v>600</v>
      </c>
      <c r="E872" s="31" t="s">
        <v>233</v>
      </c>
      <c r="F872" s="35" t="s">
        <v>463</v>
      </c>
      <c r="G872" s="33" t="s">
        <v>1066</v>
      </c>
      <c r="H872" s="33" t="s">
        <v>603</v>
      </c>
      <c r="I872" s="36" t="s">
        <v>555</v>
      </c>
      <c r="J872" s="36" t="s">
        <v>577</v>
      </c>
      <c r="K872" s="36" t="s">
        <v>996</v>
      </c>
      <c r="L872" s="37">
        <v>646000</v>
      </c>
      <c r="M872" s="271">
        <v>600000</v>
      </c>
      <c r="N872" s="34"/>
      <c r="O872" s="34" t="s">
        <v>1063</v>
      </c>
      <c r="P872" s="272" t="s">
        <v>1242</v>
      </c>
      <c r="R872" s="271"/>
      <c r="S872" s="155"/>
      <c r="T872" s="280"/>
      <c r="V872" s="281"/>
    </row>
    <row r="873" spans="1:22" x14ac:dyDescent="0.25">
      <c r="A873" s="270" t="s">
        <v>411</v>
      </c>
      <c r="B873" s="31" t="s">
        <v>410</v>
      </c>
      <c r="C873" s="31" t="s">
        <v>418</v>
      </c>
      <c r="D873" s="31" t="s">
        <v>600</v>
      </c>
      <c r="E873" s="31" t="s">
        <v>233</v>
      </c>
      <c r="F873" s="35" t="s">
        <v>463</v>
      </c>
      <c r="G873" s="33" t="s">
        <v>554</v>
      </c>
      <c r="H873" s="33" t="s">
        <v>603</v>
      </c>
      <c r="I873" s="36" t="s">
        <v>555</v>
      </c>
      <c r="J873" s="36" t="s">
        <v>577</v>
      </c>
      <c r="K873" s="36" t="s">
        <v>554</v>
      </c>
      <c r="L873" s="37">
        <v>200000</v>
      </c>
      <c r="M873" s="271">
        <v>250000</v>
      </c>
      <c r="N873" s="34"/>
      <c r="O873" s="34" t="s">
        <v>554</v>
      </c>
      <c r="P873" s="272" t="s">
        <v>1243</v>
      </c>
      <c r="R873" s="271"/>
      <c r="S873" s="155"/>
      <c r="T873" s="280"/>
      <c r="V873" s="281"/>
    </row>
    <row r="874" spans="1:22" x14ac:dyDescent="0.25">
      <c r="A874" s="270" t="s">
        <v>411</v>
      </c>
      <c r="B874" s="31" t="s">
        <v>410</v>
      </c>
      <c r="C874" s="31" t="s">
        <v>418</v>
      </c>
      <c r="D874" s="31" t="s">
        <v>600</v>
      </c>
      <c r="E874" s="31" t="s">
        <v>233</v>
      </c>
      <c r="F874" s="32" t="s">
        <v>463</v>
      </c>
      <c r="G874" s="33" t="s">
        <v>1117</v>
      </c>
      <c r="H874" s="33" t="s">
        <v>603</v>
      </c>
      <c r="I874" s="36" t="s">
        <v>555</v>
      </c>
      <c r="J874" s="36" t="s">
        <v>578</v>
      </c>
      <c r="K874" s="36" t="s">
        <v>1118</v>
      </c>
      <c r="L874" s="37">
        <v>94000</v>
      </c>
      <c r="M874" s="271">
        <v>90000</v>
      </c>
      <c r="N874" s="34"/>
      <c r="O874" s="34" t="s">
        <v>1119</v>
      </c>
      <c r="P874" s="272" t="s">
        <v>1244</v>
      </c>
      <c r="R874" s="271"/>
      <c r="S874" s="155"/>
      <c r="T874" s="280"/>
      <c r="V874" s="281"/>
    </row>
    <row r="875" spans="1:22" x14ac:dyDescent="0.25">
      <c r="A875" s="270" t="s">
        <v>411</v>
      </c>
      <c r="B875" s="31" t="s">
        <v>410</v>
      </c>
      <c r="C875" s="31" t="s">
        <v>418</v>
      </c>
      <c r="D875" s="31" t="s">
        <v>600</v>
      </c>
      <c r="E875" s="31" t="s">
        <v>233</v>
      </c>
      <c r="F875" s="35" t="s">
        <v>463</v>
      </c>
      <c r="G875" s="33" t="s">
        <v>929</v>
      </c>
      <c r="H875" s="33" t="s">
        <v>602</v>
      </c>
      <c r="I875" s="36" t="s">
        <v>555</v>
      </c>
      <c r="J875" s="36" t="s">
        <v>578</v>
      </c>
      <c r="K875" s="36" t="s">
        <v>571</v>
      </c>
      <c r="L875" s="37">
        <v>140000</v>
      </c>
      <c r="M875" s="271">
        <v>140000</v>
      </c>
      <c r="N875" s="34" t="s">
        <v>929</v>
      </c>
      <c r="O875" s="34" t="s">
        <v>930</v>
      </c>
      <c r="P875" s="272" t="s">
        <v>1296</v>
      </c>
      <c r="R875" s="271"/>
      <c r="S875" s="155"/>
      <c r="T875" s="280"/>
      <c r="V875" s="281"/>
    </row>
    <row r="876" spans="1:22" x14ac:dyDescent="0.25">
      <c r="A876" s="270" t="s">
        <v>411</v>
      </c>
      <c r="B876" s="31" t="s">
        <v>410</v>
      </c>
      <c r="C876" s="31" t="s">
        <v>418</v>
      </c>
      <c r="D876" s="31" t="s">
        <v>600</v>
      </c>
      <c r="E876" s="31" t="s">
        <v>233</v>
      </c>
      <c r="F876" s="35" t="s">
        <v>463</v>
      </c>
      <c r="G876" s="33" t="s">
        <v>929</v>
      </c>
      <c r="H876" s="33" t="s">
        <v>602</v>
      </c>
      <c r="I876" s="36" t="s">
        <v>555</v>
      </c>
      <c r="J876" s="36" t="s">
        <v>578</v>
      </c>
      <c r="K876" s="36" t="s">
        <v>571</v>
      </c>
      <c r="L876" s="37">
        <v>114000</v>
      </c>
      <c r="M876" s="271">
        <v>114000</v>
      </c>
      <c r="N876" s="34" t="s">
        <v>929</v>
      </c>
      <c r="O876" s="34" t="s">
        <v>933</v>
      </c>
      <c r="P876" s="272" t="s">
        <v>1298</v>
      </c>
      <c r="R876" s="271"/>
      <c r="S876" s="155"/>
      <c r="T876" s="280"/>
      <c r="V876" s="281"/>
    </row>
    <row r="877" spans="1:22" x14ac:dyDescent="0.25">
      <c r="A877" s="270" t="s">
        <v>411</v>
      </c>
      <c r="B877" s="31" t="s">
        <v>410</v>
      </c>
      <c r="C877" s="31" t="s">
        <v>418</v>
      </c>
      <c r="D877" s="31" t="s">
        <v>600</v>
      </c>
      <c r="E877" s="31" t="s">
        <v>233</v>
      </c>
      <c r="F877" s="32" t="s">
        <v>463</v>
      </c>
      <c r="G877" s="33" t="s">
        <v>1112</v>
      </c>
      <c r="H877" s="33" t="s">
        <v>603</v>
      </c>
      <c r="I877" s="36" t="s">
        <v>555</v>
      </c>
      <c r="J877" s="36" t="s">
        <v>578</v>
      </c>
      <c r="K877" s="36" t="s">
        <v>1113</v>
      </c>
      <c r="L877" s="37">
        <v>8000</v>
      </c>
      <c r="M877" s="271">
        <v>6000</v>
      </c>
      <c r="N877" s="34"/>
      <c r="O877" s="34" t="s">
        <v>1114</v>
      </c>
      <c r="P877" s="272" t="s">
        <v>1245</v>
      </c>
      <c r="R877" s="271"/>
      <c r="S877" s="155"/>
      <c r="T877" s="280"/>
      <c r="V877" s="281"/>
    </row>
    <row r="878" spans="1:22" x14ac:dyDescent="0.25">
      <c r="A878" s="270" t="s">
        <v>411</v>
      </c>
      <c r="B878" s="31" t="s">
        <v>410</v>
      </c>
      <c r="C878" s="31" t="s">
        <v>418</v>
      </c>
      <c r="D878" s="31" t="s">
        <v>600</v>
      </c>
      <c r="E878" s="31" t="s">
        <v>233</v>
      </c>
      <c r="F878" s="32" t="s">
        <v>463</v>
      </c>
      <c r="G878" s="33" t="s">
        <v>1092</v>
      </c>
      <c r="H878" s="33" t="s">
        <v>603</v>
      </c>
      <c r="I878" s="36" t="s">
        <v>555</v>
      </c>
      <c r="J878" s="36" t="s">
        <v>875</v>
      </c>
      <c r="K878" s="36" t="s">
        <v>1093</v>
      </c>
      <c r="L878" s="37">
        <v>24000</v>
      </c>
      <c r="M878" s="271">
        <v>24000</v>
      </c>
      <c r="N878" s="34"/>
      <c r="O878" s="34" t="s">
        <v>1094</v>
      </c>
      <c r="P878" s="272" t="s">
        <v>1246</v>
      </c>
      <c r="R878" s="271"/>
      <c r="S878" s="155"/>
      <c r="T878" s="280"/>
      <c r="V878" s="281"/>
    </row>
    <row r="879" spans="1:22" x14ac:dyDescent="0.25">
      <c r="A879" s="270" t="s">
        <v>411</v>
      </c>
      <c r="B879" s="31" t="s">
        <v>410</v>
      </c>
      <c r="C879" s="31" t="s">
        <v>418</v>
      </c>
      <c r="D879" s="31" t="s">
        <v>600</v>
      </c>
      <c r="E879" s="31" t="s">
        <v>233</v>
      </c>
      <c r="F879" s="32" t="s">
        <v>463</v>
      </c>
      <c r="G879" s="33" t="s">
        <v>1107</v>
      </c>
      <c r="H879" s="33" t="s">
        <v>603</v>
      </c>
      <c r="I879" s="36" t="s">
        <v>555</v>
      </c>
      <c r="J879" s="36" t="s">
        <v>875</v>
      </c>
      <c r="K879" s="36" t="s">
        <v>1093</v>
      </c>
      <c r="L879" s="37">
        <v>52000</v>
      </c>
      <c r="M879" s="271">
        <v>48000</v>
      </c>
      <c r="N879" s="34"/>
      <c r="O879" s="34" t="s">
        <v>1108</v>
      </c>
      <c r="P879" s="272" t="s">
        <v>1247</v>
      </c>
      <c r="R879" s="271"/>
      <c r="S879" s="155"/>
      <c r="T879" s="280"/>
      <c r="V879" s="281"/>
    </row>
    <row r="880" spans="1:22" x14ac:dyDescent="0.25">
      <c r="A880" s="270" t="s">
        <v>411</v>
      </c>
      <c r="B880" s="31" t="s">
        <v>410</v>
      </c>
      <c r="C880" s="31" t="s">
        <v>418</v>
      </c>
      <c r="D880" s="31" t="s">
        <v>600</v>
      </c>
      <c r="E880" s="31" t="s">
        <v>233</v>
      </c>
      <c r="F880" s="32" t="s">
        <v>463</v>
      </c>
      <c r="G880" s="33" t="s">
        <v>1092</v>
      </c>
      <c r="H880" s="33" t="s">
        <v>603</v>
      </c>
      <c r="I880" s="36" t="s">
        <v>555</v>
      </c>
      <c r="J880" s="36" t="s">
        <v>875</v>
      </c>
      <c r="K880" s="36" t="s">
        <v>1093</v>
      </c>
      <c r="L880" s="37">
        <v>112000</v>
      </c>
      <c r="M880" s="271">
        <v>110000</v>
      </c>
      <c r="N880" s="34"/>
      <c r="O880" s="34" t="s">
        <v>1096</v>
      </c>
      <c r="P880" s="272" t="s">
        <v>1248</v>
      </c>
      <c r="R880" s="271"/>
      <c r="S880" s="155"/>
      <c r="T880" s="280"/>
      <c r="V880" s="281"/>
    </row>
    <row r="881" spans="1:22" x14ac:dyDescent="0.25">
      <c r="A881" s="270" t="s">
        <v>411</v>
      </c>
      <c r="B881" s="31" t="s">
        <v>410</v>
      </c>
      <c r="C881" s="31" t="s">
        <v>418</v>
      </c>
      <c r="D881" s="31" t="s">
        <v>600</v>
      </c>
      <c r="E881" s="31" t="s">
        <v>233</v>
      </c>
      <c r="F881" s="32" t="s">
        <v>463</v>
      </c>
      <c r="G881" s="33" t="s">
        <v>1092</v>
      </c>
      <c r="H881" s="33" t="s">
        <v>603</v>
      </c>
      <c r="I881" s="36" t="s">
        <v>555</v>
      </c>
      <c r="J881" s="36" t="s">
        <v>875</v>
      </c>
      <c r="K881" s="36" t="s">
        <v>1093</v>
      </c>
      <c r="L881" s="37">
        <v>82000</v>
      </c>
      <c r="M881" s="271">
        <v>78000</v>
      </c>
      <c r="N881" s="34"/>
      <c r="O881" s="34" t="s">
        <v>1099</v>
      </c>
      <c r="P881" s="272" t="s">
        <v>1249</v>
      </c>
      <c r="R881" s="271"/>
      <c r="S881" s="155"/>
      <c r="T881" s="280"/>
      <c r="V881" s="281"/>
    </row>
    <row r="882" spans="1:22" x14ac:dyDescent="0.25">
      <c r="A882" s="270" t="s">
        <v>411</v>
      </c>
      <c r="B882" s="31" t="s">
        <v>410</v>
      </c>
      <c r="C882" s="31" t="s">
        <v>418</v>
      </c>
      <c r="D882" s="31" t="s">
        <v>600</v>
      </c>
      <c r="E882" s="31" t="s">
        <v>233</v>
      </c>
      <c r="F882" s="35" t="s">
        <v>463</v>
      </c>
      <c r="G882" s="33" t="s">
        <v>1143</v>
      </c>
      <c r="H882" s="33" t="s">
        <v>603</v>
      </c>
      <c r="I882" s="36" t="s">
        <v>555</v>
      </c>
      <c r="J882" s="36" t="s">
        <v>875</v>
      </c>
      <c r="K882" s="36" t="s">
        <v>508</v>
      </c>
      <c r="L882" s="37">
        <v>120000</v>
      </c>
      <c r="M882" s="271">
        <v>110000</v>
      </c>
      <c r="N882" s="34"/>
      <c r="O882" s="34" t="s">
        <v>508</v>
      </c>
      <c r="P882" s="272" t="s">
        <v>1250</v>
      </c>
      <c r="R882" s="271"/>
      <c r="S882" s="155"/>
      <c r="T882" s="280"/>
      <c r="V882" s="281"/>
    </row>
    <row r="883" spans="1:22" x14ac:dyDescent="0.25">
      <c r="A883" s="270" t="s">
        <v>411</v>
      </c>
      <c r="B883" s="31" t="s">
        <v>410</v>
      </c>
      <c r="C883" s="31" t="s">
        <v>418</v>
      </c>
      <c r="D883" s="31" t="s">
        <v>600</v>
      </c>
      <c r="E883" s="31" t="s">
        <v>233</v>
      </c>
      <c r="F883" s="35" t="s">
        <v>463</v>
      </c>
      <c r="G883" s="33" t="s">
        <v>1147</v>
      </c>
      <c r="H883" s="33" t="s">
        <v>603</v>
      </c>
      <c r="I883" s="36" t="s">
        <v>555</v>
      </c>
      <c r="J883" s="36" t="s">
        <v>875</v>
      </c>
      <c r="K883" s="36" t="s">
        <v>517</v>
      </c>
      <c r="L883" s="37">
        <v>146000</v>
      </c>
      <c r="M883" s="271">
        <v>144000</v>
      </c>
      <c r="N883" s="34" t="s">
        <v>973</v>
      </c>
      <c r="O883" s="34" t="s">
        <v>1025</v>
      </c>
      <c r="P883" s="272" t="s">
        <v>1251</v>
      </c>
      <c r="R883" s="271"/>
      <c r="S883" s="155"/>
      <c r="T883" s="280"/>
      <c r="V883" s="281"/>
    </row>
    <row r="884" spans="1:22" x14ac:dyDescent="0.25">
      <c r="A884" s="270" t="s">
        <v>411</v>
      </c>
      <c r="B884" s="31" t="s">
        <v>410</v>
      </c>
      <c r="C884" s="31" t="s">
        <v>418</v>
      </c>
      <c r="D884" s="31" t="s">
        <v>600</v>
      </c>
      <c r="E884" s="31" t="s">
        <v>233</v>
      </c>
      <c r="F884" s="35" t="s">
        <v>463</v>
      </c>
      <c r="G884" s="33" t="s">
        <v>929</v>
      </c>
      <c r="H884" s="33" t="s">
        <v>602</v>
      </c>
      <c r="I884" s="36" t="s">
        <v>555</v>
      </c>
      <c r="J884" s="36" t="s">
        <v>875</v>
      </c>
      <c r="K884" s="36" t="s">
        <v>1194</v>
      </c>
      <c r="L884" s="37">
        <v>50000</v>
      </c>
      <c r="M884" s="271">
        <v>50000</v>
      </c>
      <c r="N884" s="34" t="s">
        <v>929</v>
      </c>
      <c r="O884" s="34" t="s">
        <v>1009</v>
      </c>
      <c r="P884" s="272" t="s">
        <v>1326</v>
      </c>
      <c r="R884" s="271"/>
      <c r="S884" s="155"/>
      <c r="T884" s="280"/>
      <c r="V884" s="281"/>
    </row>
    <row r="885" spans="1:22" x14ac:dyDescent="0.25">
      <c r="A885" s="270" t="s">
        <v>411</v>
      </c>
      <c r="B885" s="31" t="s">
        <v>410</v>
      </c>
      <c r="C885" s="31" t="s">
        <v>418</v>
      </c>
      <c r="D885" s="31" t="s">
        <v>600</v>
      </c>
      <c r="E885" s="31" t="s">
        <v>233</v>
      </c>
      <c r="F885" s="35" t="s">
        <v>463</v>
      </c>
      <c r="G885" s="33" t="s">
        <v>885</v>
      </c>
      <c r="H885" s="33" t="s">
        <v>603</v>
      </c>
      <c r="I885" s="36" t="s">
        <v>555</v>
      </c>
      <c r="J885" s="36" t="s">
        <v>875</v>
      </c>
      <c r="K885" s="36" t="s">
        <v>1195</v>
      </c>
      <c r="L885" s="37">
        <v>165000</v>
      </c>
      <c r="M885" s="271">
        <v>166000</v>
      </c>
      <c r="N885" s="34"/>
      <c r="O885" s="34" t="s">
        <v>1192</v>
      </c>
      <c r="P885" s="272" t="s">
        <v>1252</v>
      </c>
      <c r="R885" s="271"/>
      <c r="S885" s="155"/>
      <c r="T885" s="280"/>
      <c r="V885" s="281"/>
    </row>
    <row r="886" spans="1:22" x14ac:dyDescent="0.25">
      <c r="A886" s="270" t="s">
        <v>411</v>
      </c>
      <c r="B886" s="31" t="s">
        <v>410</v>
      </c>
      <c r="C886" s="31" t="s">
        <v>418</v>
      </c>
      <c r="D886" s="31" t="s">
        <v>600</v>
      </c>
      <c r="E886" s="31" t="s">
        <v>233</v>
      </c>
      <c r="F886" s="35" t="s">
        <v>463</v>
      </c>
      <c r="G886" s="33" t="s">
        <v>885</v>
      </c>
      <c r="H886" s="33" t="s">
        <v>603</v>
      </c>
      <c r="I886" s="36" t="s">
        <v>555</v>
      </c>
      <c r="J886" s="36" t="s">
        <v>875</v>
      </c>
      <c r="K886" s="36" t="s">
        <v>1196</v>
      </c>
      <c r="L886" s="37">
        <v>33000</v>
      </c>
      <c r="M886" s="271">
        <v>36000</v>
      </c>
      <c r="N886" s="34"/>
      <c r="O886" s="34" t="s">
        <v>1181</v>
      </c>
      <c r="P886" s="272" t="s">
        <v>1253</v>
      </c>
      <c r="R886" s="271"/>
      <c r="S886" s="155"/>
      <c r="T886" s="280"/>
      <c r="V886" s="281"/>
    </row>
    <row r="887" spans="1:22" x14ac:dyDescent="0.25">
      <c r="A887" s="270" t="s">
        <v>411</v>
      </c>
      <c r="B887" s="31" t="s">
        <v>410</v>
      </c>
      <c r="C887" s="31" t="s">
        <v>418</v>
      </c>
      <c r="D887" s="31" t="s">
        <v>600</v>
      </c>
      <c r="E887" s="31" t="s">
        <v>233</v>
      </c>
      <c r="F887" s="35" t="s">
        <v>463</v>
      </c>
      <c r="G887" s="33" t="s">
        <v>885</v>
      </c>
      <c r="H887" s="33" t="s">
        <v>603</v>
      </c>
      <c r="I887" s="36" t="s">
        <v>555</v>
      </c>
      <c r="J887" s="36" t="s">
        <v>875</v>
      </c>
      <c r="K887" s="36" t="s">
        <v>1196</v>
      </c>
      <c r="L887" s="37">
        <v>33000</v>
      </c>
      <c r="M887" s="271">
        <v>36000</v>
      </c>
      <c r="N887" s="34"/>
      <c r="O887" s="34" t="s">
        <v>1182</v>
      </c>
      <c r="P887" s="272" t="s">
        <v>1254</v>
      </c>
      <c r="R887" s="271"/>
      <c r="S887" s="155"/>
      <c r="T887" s="280"/>
      <c r="V887" s="281"/>
    </row>
    <row r="888" spans="1:22" x14ac:dyDescent="0.25">
      <c r="A888" s="270" t="s">
        <v>411</v>
      </c>
      <c r="B888" s="31" t="s">
        <v>410</v>
      </c>
      <c r="C888" s="31" t="s">
        <v>418</v>
      </c>
      <c r="D888" s="31" t="s">
        <v>600</v>
      </c>
      <c r="E888" s="31" t="s">
        <v>233</v>
      </c>
      <c r="F888" s="35" t="s">
        <v>463</v>
      </c>
      <c r="G888" s="33" t="s">
        <v>885</v>
      </c>
      <c r="H888" s="33" t="s">
        <v>603</v>
      </c>
      <c r="I888" s="36" t="s">
        <v>555</v>
      </c>
      <c r="J888" s="36" t="s">
        <v>875</v>
      </c>
      <c r="K888" s="36" t="s">
        <v>1196</v>
      </c>
      <c r="L888" s="37">
        <v>66000</v>
      </c>
      <c r="M888" s="271">
        <v>70000</v>
      </c>
      <c r="N888" s="34"/>
      <c r="O888" s="34" t="s">
        <v>1183</v>
      </c>
      <c r="P888" s="272" t="s">
        <v>1255</v>
      </c>
      <c r="R888" s="271"/>
      <c r="S888" s="155"/>
      <c r="T888" s="280"/>
      <c r="V888" s="281"/>
    </row>
    <row r="889" spans="1:22" x14ac:dyDescent="0.25">
      <c r="A889" s="270" t="s">
        <v>411</v>
      </c>
      <c r="B889" s="31" t="s">
        <v>410</v>
      </c>
      <c r="C889" s="31" t="s">
        <v>418</v>
      </c>
      <c r="D889" s="31" t="s">
        <v>600</v>
      </c>
      <c r="E889" s="31" t="s">
        <v>233</v>
      </c>
      <c r="F889" s="35" t="s">
        <v>463</v>
      </c>
      <c r="G889" s="33" t="s">
        <v>885</v>
      </c>
      <c r="H889" s="33" t="s">
        <v>603</v>
      </c>
      <c r="I889" s="36" t="s">
        <v>555</v>
      </c>
      <c r="J889" s="36" t="s">
        <v>875</v>
      </c>
      <c r="K889" s="36" t="s">
        <v>1194</v>
      </c>
      <c r="L889" s="37">
        <v>231000</v>
      </c>
      <c r="M889" s="271">
        <v>230000</v>
      </c>
      <c r="N889" s="34"/>
      <c r="O889" s="34" t="s">
        <v>1185</v>
      </c>
      <c r="P889" s="272" t="s">
        <v>1256</v>
      </c>
      <c r="R889" s="271"/>
      <c r="S889" s="155"/>
      <c r="T889" s="280"/>
      <c r="V889" s="281"/>
    </row>
    <row r="890" spans="1:22" x14ac:dyDescent="0.25">
      <c r="A890" s="270" t="s">
        <v>411</v>
      </c>
      <c r="B890" s="31" t="s">
        <v>410</v>
      </c>
      <c r="C890" s="31" t="s">
        <v>418</v>
      </c>
      <c r="D890" s="31" t="s">
        <v>600</v>
      </c>
      <c r="E890" s="31" t="s">
        <v>233</v>
      </c>
      <c r="F890" s="35" t="s">
        <v>463</v>
      </c>
      <c r="G890" s="33" t="s">
        <v>885</v>
      </c>
      <c r="H890" s="33" t="s">
        <v>603</v>
      </c>
      <c r="I890" s="36" t="s">
        <v>555</v>
      </c>
      <c r="J890" s="36" t="s">
        <v>875</v>
      </c>
      <c r="K890" s="36" t="s">
        <v>1045</v>
      </c>
      <c r="L890" s="37">
        <v>36000</v>
      </c>
      <c r="M890" s="271">
        <v>32000</v>
      </c>
      <c r="N890" s="34"/>
      <c r="O890" s="34" t="s">
        <v>1047</v>
      </c>
      <c r="P890" s="272" t="s">
        <v>1257</v>
      </c>
      <c r="R890" s="271"/>
      <c r="S890" s="155"/>
      <c r="T890" s="280"/>
      <c r="V890" s="281"/>
    </row>
    <row r="891" spans="1:22" x14ac:dyDescent="0.25">
      <c r="A891" s="270" t="s">
        <v>411</v>
      </c>
      <c r="B891" s="31" t="s">
        <v>410</v>
      </c>
      <c r="C891" s="31" t="s">
        <v>418</v>
      </c>
      <c r="D891" s="31" t="s">
        <v>600</v>
      </c>
      <c r="E891" s="31" t="s">
        <v>233</v>
      </c>
      <c r="F891" s="35" t="s">
        <v>463</v>
      </c>
      <c r="G891" s="33" t="s">
        <v>929</v>
      </c>
      <c r="H891" s="33" t="s">
        <v>602</v>
      </c>
      <c r="I891" s="36" t="s">
        <v>555</v>
      </c>
      <c r="J891" s="36" t="s">
        <v>875</v>
      </c>
      <c r="K891" s="36" t="s">
        <v>573</v>
      </c>
      <c r="L891" s="37">
        <v>72000</v>
      </c>
      <c r="M891" s="271">
        <v>70000</v>
      </c>
      <c r="N891" s="34" t="s">
        <v>929</v>
      </c>
      <c r="O891" s="34" t="s">
        <v>573</v>
      </c>
      <c r="P891" s="272" t="s">
        <v>1307</v>
      </c>
      <c r="R891" s="271"/>
      <c r="S891" s="155"/>
      <c r="T891" s="280"/>
      <c r="V891" s="281"/>
    </row>
    <row r="892" spans="1:22" x14ac:dyDescent="0.25">
      <c r="A892" s="270" t="s">
        <v>411</v>
      </c>
      <c r="B892" s="31" t="s">
        <v>410</v>
      </c>
      <c r="C892" s="31" t="s">
        <v>418</v>
      </c>
      <c r="D892" s="31" t="s">
        <v>600</v>
      </c>
      <c r="E892" s="31" t="s">
        <v>233</v>
      </c>
      <c r="F892" s="35" t="s">
        <v>463</v>
      </c>
      <c r="G892" s="33" t="s">
        <v>929</v>
      </c>
      <c r="H892" s="33" t="s">
        <v>602</v>
      </c>
      <c r="I892" s="36" t="s">
        <v>555</v>
      </c>
      <c r="J892" s="36" t="s">
        <v>875</v>
      </c>
      <c r="K892" s="36" t="s">
        <v>950</v>
      </c>
      <c r="L892" s="37">
        <v>100000</v>
      </c>
      <c r="M892" s="271">
        <v>100000</v>
      </c>
      <c r="N892" s="34" t="s">
        <v>929</v>
      </c>
      <c r="O892" s="34" t="s">
        <v>950</v>
      </c>
      <c r="P892" s="272" t="s">
        <v>1308</v>
      </c>
      <c r="R892" s="271"/>
      <c r="S892" s="155"/>
      <c r="T892" s="280"/>
      <c r="V892" s="281"/>
    </row>
    <row r="893" spans="1:22" x14ac:dyDescent="0.25">
      <c r="A893" s="270" t="s">
        <v>411</v>
      </c>
      <c r="B893" s="31" t="s">
        <v>410</v>
      </c>
      <c r="C893" s="31" t="s">
        <v>418</v>
      </c>
      <c r="D893" s="31" t="s">
        <v>600</v>
      </c>
      <c r="E893" s="31" t="s">
        <v>233</v>
      </c>
      <c r="F893" s="35" t="s">
        <v>463</v>
      </c>
      <c r="G893" s="33" t="s">
        <v>513</v>
      </c>
      <c r="H893" s="33" t="s">
        <v>603</v>
      </c>
      <c r="I893" s="36" t="s">
        <v>555</v>
      </c>
      <c r="J893" s="36" t="s">
        <v>875</v>
      </c>
      <c r="K893" s="36" t="s">
        <v>904</v>
      </c>
      <c r="L893" s="37">
        <v>140000</v>
      </c>
      <c r="M893" s="271">
        <v>138000</v>
      </c>
      <c r="N893" s="34"/>
      <c r="O893" s="34" t="s">
        <v>1052</v>
      </c>
      <c r="P893" s="272" t="s">
        <v>1258</v>
      </c>
      <c r="R893" s="271"/>
      <c r="S893" s="155"/>
      <c r="T893" s="280"/>
      <c r="V893" s="281"/>
    </row>
    <row r="894" spans="1:22" x14ac:dyDescent="0.25">
      <c r="A894" s="270" t="s">
        <v>411</v>
      </c>
      <c r="B894" s="31" t="s">
        <v>410</v>
      </c>
      <c r="C894" s="31" t="s">
        <v>418</v>
      </c>
      <c r="D894" s="31" t="s">
        <v>600</v>
      </c>
      <c r="E894" s="31" t="s">
        <v>233</v>
      </c>
      <c r="F894" s="35" t="s">
        <v>463</v>
      </c>
      <c r="G894" s="33" t="s">
        <v>527</v>
      </c>
      <c r="H894" s="33" t="s">
        <v>603</v>
      </c>
      <c r="I894" s="36" t="s">
        <v>555</v>
      </c>
      <c r="J894" s="36" t="s">
        <v>875</v>
      </c>
      <c r="K894" s="36" t="s">
        <v>518</v>
      </c>
      <c r="L894" s="37">
        <v>2398000</v>
      </c>
      <c r="M894" s="271">
        <v>2397000</v>
      </c>
      <c r="N894" s="34" t="s">
        <v>973</v>
      </c>
      <c r="O894" s="34" t="s">
        <v>974</v>
      </c>
      <c r="P894" s="272" t="s">
        <v>1259</v>
      </c>
      <c r="R894" s="271"/>
      <c r="S894" s="155"/>
      <c r="T894" s="280"/>
      <c r="V894" s="281"/>
    </row>
    <row r="895" spans="1:22" x14ac:dyDescent="0.25">
      <c r="A895" s="270" t="s">
        <v>411</v>
      </c>
      <c r="B895" s="31" t="s">
        <v>410</v>
      </c>
      <c r="C895" s="31" t="s">
        <v>418</v>
      </c>
      <c r="D895" s="31" t="s">
        <v>600</v>
      </c>
      <c r="E895" s="31" t="s">
        <v>234</v>
      </c>
      <c r="F895" s="35" t="s">
        <v>464</v>
      </c>
      <c r="G895" s="33" t="s">
        <v>597</v>
      </c>
      <c r="H895" s="33" t="s">
        <v>603</v>
      </c>
      <c r="I895" s="36" t="s">
        <v>552</v>
      </c>
      <c r="J895" s="36" t="s">
        <v>591</v>
      </c>
      <c r="K895" s="36" t="s">
        <v>1015</v>
      </c>
      <c r="L895" s="37">
        <v>32000</v>
      </c>
      <c r="M895" s="271">
        <v>32000</v>
      </c>
      <c r="N895" s="34"/>
      <c r="O895" s="34"/>
      <c r="P895" s="272" t="s">
        <v>1260</v>
      </c>
      <c r="R895" s="271"/>
      <c r="S895" s="155"/>
      <c r="T895" s="280"/>
      <c r="V895" s="281"/>
    </row>
    <row r="896" spans="1:22" x14ac:dyDescent="0.25">
      <c r="A896" s="270" t="s">
        <v>411</v>
      </c>
      <c r="B896" s="31" t="s">
        <v>410</v>
      </c>
      <c r="C896" s="31" t="s">
        <v>418</v>
      </c>
      <c r="D896" s="31" t="s">
        <v>600</v>
      </c>
      <c r="E896" s="31" t="s">
        <v>234</v>
      </c>
      <c r="F896" s="35" t="s">
        <v>464</v>
      </c>
      <c r="G896" s="33" t="s">
        <v>929</v>
      </c>
      <c r="H896" s="33" t="s">
        <v>602</v>
      </c>
      <c r="I896" s="36" t="s">
        <v>552</v>
      </c>
      <c r="J896" s="36" t="s">
        <v>591</v>
      </c>
      <c r="K896" s="36" t="s">
        <v>1015</v>
      </c>
      <c r="L896" s="37">
        <f>2*24000</f>
        <v>48000</v>
      </c>
      <c r="M896" s="271">
        <v>48000</v>
      </c>
      <c r="N896" s="34" t="s">
        <v>929</v>
      </c>
      <c r="O896" s="34" t="s">
        <v>1004</v>
      </c>
      <c r="P896" s="272" t="s">
        <v>1328</v>
      </c>
      <c r="R896" s="271"/>
      <c r="S896" s="155"/>
      <c r="T896" s="280"/>
      <c r="V896" s="281"/>
    </row>
    <row r="897" spans="1:22" x14ac:dyDescent="0.25">
      <c r="A897" s="270" t="s">
        <v>411</v>
      </c>
      <c r="B897" s="31" t="s">
        <v>410</v>
      </c>
      <c r="C897" s="31" t="s">
        <v>418</v>
      </c>
      <c r="D897" s="31" t="s">
        <v>600</v>
      </c>
      <c r="E897" s="31" t="s">
        <v>234</v>
      </c>
      <c r="F897" s="35" t="s">
        <v>464</v>
      </c>
      <c r="G897" s="33" t="s">
        <v>929</v>
      </c>
      <c r="H897" s="33" t="s">
        <v>602</v>
      </c>
      <c r="I897" s="36" t="s">
        <v>552</v>
      </c>
      <c r="J897" s="36" t="s">
        <v>1221</v>
      </c>
      <c r="K897" s="36" t="s">
        <v>1220</v>
      </c>
      <c r="L897" s="37">
        <f>24000*4</f>
        <v>96000</v>
      </c>
      <c r="M897" s="271">
        <v>96000</v>
      </c>
      <c r="N897" s="34" t="s">
        <v>929</v>
      </c>
      <c r="O897" s="34" t="s">
        <v>1003</v>
      </c>
      <c r="P897" s="272" t="s">
        <v>1329</v>
      </c>
      <c r="R897" s="271"/>
      <c r="S897" s="155"/>
      <c r="T897" s="280"/>
      <c r="V897" s="281"/>
    </row>
    <row r="898" spans="1:22" x14ac:dyDescent="0.25">
      <c r="A898" s="270" t="s">
        <v>411</v>
      </c>
      <c r="B898" s="31" t="s">
        <v>410</v>
      </c>
      <c r="C898" s="31" t="s">
        <v>418</v>
      </c>
      <c r="D898" s="31" t="s">
        <v>600</v>
      </c>
      <c r="E898" s="31" t="s">
        <v>234</v>
      </c>
      <c r="F898" s="35" t="s">
        <v>464</v>
      </c>
      <c r="G898" s="33" t="s">
        <v>929</v>
      </c>
      <c r="H898" s="33" t="s">
        <v>602</v>
      </c>
      <c r="I898" s="36" t="s">
        <v>552</v>
      </c>
      <c r="J898" s="36" t="s">
        <v>591</v>
      </c>
      <c r="K898" s="36" t="s">
        <v>948</v>
      </c>
      <c r="L898" s="37">
        <v>28000</v>
      </c>
      <c r="M898" s="271">
        <v>28000</v>
      </c>
      <c r="N898" s="34" t="s">
        <v>929</v>
      </c>
      <c r="O898" s="34" t="s">
        <v>948</v>
      </c>
      <c r="P898" s="272" t="s">
        <v>1330</v>
      </c>
      <c r="R898" s="271"/>
      <c r="S898" s="155"/>
      <c r="T898" s="280"/>
      <c r="V898" s="281"/>
    </row>
    <row r="899" spans="1:22" x14ac:dyDescent="0.25">
      <c r="A899" s="270" t="s">
        <v>411</v>
      </c>
      <c r="B899" s="31" t="s">
        <v>410</v>
      </c>
      <c r="C899" s="31" t="s">
        <v>418</v>
      </c>
      <c r="D899" s="31" t="s">
        <v>600</v>
      </c>
      <c r="E899" s="31" t="s">
        <v>234</v>
      </c>
      <c r="F899" s="35" t="s">
        <v>464</v>
      </c>
      <c r="G899" s="33" t="s">
        <v>929</v>
      </c>
      <c r="H899" s="33" t="s">
        <v>602</v>
      </c>
      <c r="I899" s="36" t="s">
        <v>552</v>
      </c>
      <c r="J899" s="36" t="s">
        <v>591</v>
      </c>
      <c r="K899" s="36" t="s">
        <v>572</v>
      </c>
      <c r="L899" s="37">
        <v>62000</v>
      </c>
      <c r="M899" s="271">
        <v>62000</v>
      </c>
      <c r="N899" s="34" t="s">
        <v>929</v>
      </c>
      <c r="O899" s="34" t="s">
        <v>572</v>
      </c>
      <c r="P899" s="272" t="s">
        <v>1331</v>
      </c>
      <c r="R899" s="271"/>
      <c r="S899" s="155"/>
      <c r="T899" s="280"/>
      <c r="V899" s="281"/>
    </row>
    <row r="900" spans="1:22" x14ac:dyDescent="0.25">
      <c r="A900" s="270" t="s">
        <v>411</v>
      </c>
      <c r="B900" s="31" t="s">
        <v>410</v>
      </c>
      <c r="C900" s="31" t="s">
        <v>418</v>
      </c>
      <c r="D900" s="31" t="s">
        <v>600</v>
      </c>
      <c r="E900" s="31" t="s">
        <v>234</v>
      </c>
      <c r="F900" s="35" t="s">
        <v>464</v>
      </c>
      <c r="G900" s="33" t="s">
        <v>506</v>
      </c>
      <c r="H900" s="33" t="s">
        <v>603</v>
      </c>
      <c r="I900" s="36" t="s">
        <v>552</v>
      </c>
      <c r="J900" s="36" t="s">
        <v>580</v>
      </c>
      <c r="K900" s="36" t="s">
        <v>1056</v>
      </c>
      <c r="L900" s="37">
        <v>52000</v>
      </c>
      <c r="M900" s="271">
        <v>46000</v>
      </c>
      <c r="N900" s="34"/>
      <c r="O900" s="34" t="s">
        <v>1057</v>
      </c>
      <c r="P900" s="272" t="s">
        <v>1222</v>
      </c>
      <c r="R900" s="271"/>
      <c r="S900" s="155"/>
      <c r="T900" s="280"/>
      <c r="V900" s="281"/>
    </row>
    <row r="901" spans="1:22" x14ac:dyDescent="0.25">
      <c r="A901" s="270" t="s">
        <v>411</v>
      </c>
      <c r="B901" s="31" t="s">
        <v>410</v>
      </c>
      <c r="C901" s="31" t="s">
        <v>418</v>
      </c>
      <c r="D901" s="31" t="s">
        <v>600</v>
      </c>
      <c r="E901" s="31" t="s">
        <v>234</v>
      </c>
      <c r="F901" s="35" t="s">
        <v>464</v>
      </c>
      <c r="G901" s="33" t="s">
        <v>505</v>
      </c>
      <c r="H901" s="33" t="s">
        <v>603</v>
      </c>
      <c r="I901" s="36" t="s">
        <v>552</v>
      </c>
      <c r="J901" s="36" t="s">
        <v>580</v>
      </c>
      <c r="K901" s="36" t="s">
        <v>1056</v>
      </c>
      <c r="L901" s="37">
        <v>0</v>
      </c>
      <c r="M901" s="271">
        <v>0</v>
      </c>
      <c r="N901" s="34"/>
      <c r="O901" s="34" t="s">
        <v>1058</v>
      </c>
      <c r="P901" s="272" t="s">
        <v>1223</v>
      </c>
      <c r="R901" s="271"/>
      <c r="S901" s="155"/>
      <c r="T901" s="280"/>
      <c r="V901" s="281"/>
    </row>
    <row r="902" spans="1:22" x14ac:dyDescent="0.25">
      <c r="A902" s="270" t="s">
        <v>411</v>
      </c>
      <c r="B902" s="31" t="s">
        <v>410</v>
      </c>
      <c r="C902" s="31" t="s">
        <v>418</v>
      </c>
      <c r="D902" s="31" t="s">
        <v>600</v>
      </c>
      <c r="E902" s="31" t="s">
        <v>234</v>
      </c>
      <c r="F902" s="35" t="s">
        <v>464</v>
      </c>
      <c r="G902" s="33" t="s">
        <v>507</v>
      </c>
      <c r="H902" s="33" t="s">
        <v>603</v>
      </c>
      <c r="I902" s="36" t="s">
        <v>552</v>
      </c>
      <c r="J902" s="36" t="s">
        <v>580</v>
      </c>
      <c r="K902" s="36" t="s">
        <v>1056</v>
      </c>
      <c r="L902" s="37">
        <v>52000</v>
      </c>
      <c r="M902" s="271">
        <v>48000</v>
      </c>
      <c r="N902" s="34"/>
      <c r="O902" s="34" t="s">
        <v>1055</v>
      </c>
      <c r="P902" s="272" t="s">
        <v>1224</v>
      </c>
      <c r="R902" s="271"/>
      <c r="S902" s="155"/>
      <c r="T902" s="280"/>
      <c r="V902" s="281"/>
    </row>
    <row r="903" spans="1:22" x14ac:dyDescent="0.25">
      <c r="A903" s="270" t="s">
        <v>411</v>
      </c>
      <c r="B903" s="31" t="s">
        <v>410</v>
      </c>
      <c r="C903" s="31" t="s">
        <v>418</v>
      </c>
      <c r="D903" s="31" t="s">
        <v>600</v>
      </c>
      <c r="E903" s="31" t="s">
        <v>234</v>
      </c>
      <c r="F903" s="35" t="s">
        <v>464</v>
      </c>
      <c r="G903" s="33" t="s">
        <v>1136</v>
      </c>
      <c r="H903" s="33" t="s">
        <v>603</v>
      </c>
      <c r="I903" s="36" t="s">
        <v>552</v>
      </c>
      <c r="J903" s="36" t="s">
        <v>580</v>
      </c>
      <c r="K903" s="36" t="s">
        <v>503</v>
      </c>
      <c r="L903" s="37">
        <v>2000</v>
      </c>
      <c r="M903" s="271">
        <v>2000</v>
      </c>
      <c r="N903" s="34"/>
      <c r="O903" s="34" t="s">
        <v>503</v>
      </c>
      <c r="P903" s="272" t="s">
        <v>1261</v>
      </c>
      <c r="R903" s="271"/>
      <c r="S903" s="155"/>
      <c r="T903" s="280"/>
      <c r="V903" s="281"/>
    </row>
    <row r="904" spans="1:22" x14ac:dyDescent="0.25">
      <c r="A904" s="270" t="s">
        <v>411</v>
      </c>
      <c r="B904" s="31" t="s">
        <v>410</v>
      </c>
      <c r="C904" s="31" t="s">
        <v>418</v>
      </c>
      <c r="D904" s="31" t="s">
        <v>600</v>
      </c>
      <c r="E904" s="31" t="s">
        <v>234</v>
      </c>
      <c r="F904" s="35" t="s">
        <v>464</v>
      </c>
      <c r="G904" s="33" t="s">
        <v>1130</v>
      </c>
      <c r="H904" s="33" t="s">
        <v>603</v>
      </c>
      <c r="I904" s="36" t="s">
        <v>552</v>
      </c>
      <c r="J904" s="36" t="s">
        <v>580</v>
      </c>
      <c r="K904" s="36" t="s">
        <v>504</v>
      </c>
      <c r="L904" s="37">
        <v>2000</v>
      </c>
      <c r="M904" s="271">
        <v>2000</v>
      </c>
      <c r="N904" s="34"/>
      <c r="O904" s="34" t="s">
        <v>504</v>
      </c>
      <c r="P904" s="272" t="s">
        <v>1262</v>
      </c>
      <c r="R904" s="271"/>
      <c r="S904" s="155"/>
      <c r="T904" s="280"/>
      <c r="V904" s="281"/>
    </row>
    <row r="905" spans="1:22" x14ac:dyDescent="0.25">
      <c r="A905" s="270" t="s">
        <v>411</v>
      </c>
      <c r="B905" s="31" t="s">
        <v>410</v>
      </c>
      <c r="C905" s="31" t="s">
        <v>418</v>
      </c>
      <c r="D905" s="31" t="s">
        <v>600</v>
      </c>
      <c r="E905" s="31" t="s">
        <v>234</v>
      </c>
      <c r="F905" s="35" t="s">
        <v>464</v>
      </c>
      <c r="G905" s="33" t="s">
        <v>1124</v>
      </c>
      <c r="H905" s="33" t="s">
        <v>603</v>
      </c>
      <c r="I905" s="36" t="s">
        <v>552</v>
      </c>
      <c r="J905" s="36" t="s">
        <v>580</v>
      </c>
      <c r="K905" s="36" t="s">
        <v>505</v>
      </c>
      <c r="L905" s="37">
        <v>2000</v>
      </c>
      <c r="M905" s="271">
        <v>2000</v>
      </c>
      <c r="N905" s="34"/>
      <c r="O905" s="34" t="s">
        <v>505</v>
      </c>
      <c r="P905" s="272" t="s">
        <v>1263</v>
      </c>
      <c r="R905" s="271"/>
      <c r="S905" s="155"/>
      <c r="T905" s="280"/>
      <c r="V905" s="281"/>
    </row>
    <row r="906" spans="1:22" x14ac:dyDescent="0.25">
      <c r="A906" s="270" t="s">
        <v>411</v>
      </c>
      <c r="B906" s="31" t="s">
        <v>410</v>
      </c>
      <c r="C906" s="31" t="s">
        <v>418</v>
      </c>
      <c r="D906" s="31" t="s">
        <v>600</v>
      </c>
      <c r="E906" s="31" t="s">
        <v>234</v>
      </c>
      <c r="F906" s="35" t="s">
        <v>464</v>
      </c>
      <c r="G906" s="33" t="s">
        <v>1137</v>
      </c>
      <c r="H906" s="33" t="s">
        <v>603</v>
      </c>
      <c r="I906" s="36" t="s">
        <v>552</v>
      </c>
      <c r="J906" s="36" t="s">
        <v>580</v>
      </c>
      <c r="K906" s="36" t="s">
        <v>506</v>
      </c>
      <c r="L906" s="37">
        <v>2000</v>
      </c>
      <c r="M906" s="271">
        <v>2000</v>
      </c>
      <c r="N906" s="34"/>
      <c r="O906" s="34" t="s">
        <v>506</v>
      </c>
      <c r="P906" s="272" t="s">
        <v>1264</v>
      </c>
      <c r="R906" s="271"/>
      <c r="S906" s="155"/>
      <c r="T906" s="280"/>
      <c r="V906" s="281"/>
    </row>
    <row r="907" spans="1:22" x14ac:dyDescent="0.25">
      <c r="A907" s="270" t="s">
        <v>411</v>
      </c>
      <c r="B907" s="31" t="s">
        <v>410</v>
      </c>
      <c r="C907" s="31" t="s">
        <v>418</v>
      </c>
      <c r="D907" s="31" t="s">
        <v>600</v>
      </c>
      <c r="E907" s="31" t="s">
        <v>234</v>
      </c>
      <c r="F907" s="35" t="s">
        <v>464</v>
      </c>
      <c r="G907" s="33" t="s">
        <v>1140</v>
      </c>
      <c r="H907" s="33" t="s">
        <v>603</v>
      </c>
      <c r="I907" s="36" t="s">
        <v>552</v>
      </c>
      <c r="J907" s="36" t="s">
        <v>580</v>
      </c>
      <c r="K907" s="36" t="s">
        <v>507</v>
      </c>
      <c r="L907" s="37">
        <v>2000</v>
      </c>
      <c r="M907" s="271">
        <v>2000</v>
      </c>
      <c r="N907" s="34"/>
      <c r="O907" s="34" t="s">
        <v>507</v>
      </c>
      <c r="P907" s="272" t="s">
        <v>1265</v>
      </c>
      <c r="R907" s="271"/>
      <c r="S907" s="155"/>
      <c r="T907" s="280"/>
      <c r="V907" s="281"/>
    </row>
    <row r="908" spans="1:22" x14ac:dyDescent="0.25">
      <c r="A908" s="270" t="s">
        <v>411</v>
      </c>
      <c r="B908" s="31" t="s">
        <v>410</v>
      </c>
      <c r="C908" s="31" t="s">
        <v>418</v>
      </c>
      <c r="D908" s="31" t="s">
        <v>600</v>
      </c>
      <c r="E908" s="31" t="s">
        <v>234</v>
      </c>
      <c r="F908" s="35" t="s">
        <v>464</v>
      </c>
      <c r="G908" s="33" t="s">
        <v>512</v>
      </c>
      <c r="H908" s="33" t="s">
        <v>603</v>
      </c>
      <c r="I908" s="36" t="s">
        <v>552</v>
      </c>
      <c r="J908" s="36" t="s">
        <v>580</v>
      </c>
      <c r="K908" s="36" t="s">
        <v>606</v>
      </c>
      <c r="L908" s="37">
        <v>20000</v>
      </c>
      <c r="M908" s="271">
        <v>20000</v>
      </c>
      <c r="N908" s="34"/>
      <c r="O908" s="34"/>
      <c r="P908" s="272" t="s">
        <v>1266</v>
      </c>
      <c r="R908" s="271"/>
      <c r="S908" s="155"/>
      <c r="T908" s="280"/>
      <c r="V908" s="281"/>
    </row>
    <row r="909" spans="1:22" x14ac:dyDescent="0.25">
      <c r="A909" s="270" t="s">
        <v>411</v>
      </c>
      <c r="B909" s="31" t="s">
        <v>410</v>
      </c>
      <c r="C909" s="31" t="s">
        <v>418</v>
      </c>
      <c r="D909" s="31" t="s">
        <v>600</v>
      </c>
      <c r="E909" s="31" t="s">
        <v>234</v>
      </c>
      <c r="F909" s="35" t="s">
        <v>464</v>
      </c>
      <c r="G909" s="33" t="s">
        <v>1151</v>
      </c>
      <c r="H909" s="33" t="s">
        <v>603</v>
      </c>
      <c r="I909" s="36" t="s">
        <v>553</v>
      </c>
      <c r="J909" s="36" t="s">
        <v>581</v>
      </c>
      <c r="K909" s="36" t="s">
        <v>516</v>
      </c>
      <c r="L909" s="37">
        <v>24000</v>
      </c>
      <c r="M909" s="271">
        <v>22000</v>
      </c>
      <c r="N909" s="34"/>
      <c r="O909" s="34" t="s">
        <v>516</v>
      </c>
      <c r="P909" s="272" t="s">
        <v>1267</v>
      </c>
      <c r="R909" s="271"/>
      <c r="S909" s="155"/>
      <c r="T909" s="280"/>
      <c r="V909" s="281"/>
    </row>
    <row r="910" spans="1:22" x14ac:dyDescent="0.25">
      <c r="A910" s="270" t="s">
        <v>411</v>
      </c>
      <c r="B910" s="31" t="s">
        <v>410</v>
      </c>
      <c r="C910" s="31" t="s">
        <v>418</v>
      </c>
      <c r="D910" s="31" t="s">
        <v>600</v>
      </c>
      <c r="E910" s="31" t="s">
        <v>234</v>
      </c>
      <c r="F910" s="35" t="s">
        <v>464</v>
      </c>
      <c r="G910" s="33" t="s">
        <v>528</v>
      </c>
      <c r="H910" s="33" t="s">
        <v>603</v>
      </c>
      <c r="I910" s="36" t="s">
        <v>553</v>
      </c>
      <c r="J910" s="36" t="s">
        <v>581</v>
      </c>
      <c r="K910" s="36" t="s">
        <v>605</v>
      </c>
      <c r="L910" s="37">
        <v>60000</v>
      </c>
      <c r="M910" s="271">
        <v>60000</v>
      </c>
      <c r="N910" s="34"/>
      <c r="O910" s="34"/>
      <c r="P910" s="272" t="s">
        <v>1268</v>
      </c>
      <c r="R910" s="271"/>
      <c r="S910" s="155"/>
      <c r="T910" s="280"/>
      <c r="V910" s="281"/>
    </row>
    <row r="911" spans="1:22" x14ac:dyDescent="0.25">
      <c r="A911" s="270" t="s">
        <v>411</v>
      </c>
      <c r="B911" s="31" t="s">
        <v>410</v>
      </c>
      <c r="C911" s="31" t="s">
        <v>418</v>
      </c>
      <c r="D911" s="31" t="s">
        <v>600</v>
      </c>
      <c r="E911" s="31" t="s">
        <v>234</v>
      </c>
      <c r="F911" s="35" t="s">
        <v>464</v>
      </c>
      <c r="G911" s="33" t="s">
        <v>515</v>
      </c>
      <c r="H911" s="33" t="s">
        <v>603</v>
      </c>
      <c r="I911" s="36" t="s">
        <v>553</v>
      </c>
      <c r="J911" s="36" t="s">
        <v>581</v>
      </c>
      <c r="K911" s="36" t="s">
        <v>605</v>
      </c>
      <c r="L911" s="37">
        <v>50000</v>
      </c>
      <c r="M911" s="271">
        <v>50000</v>
      </c>
      <c r="N911" s="34"/>
      <c r="O911" s="34"/>
      <c r="P911" s="272" t="s">
        <v>1269</v>
      </c>
      <c r="R911" s="271"/>
      <c r="S911" s="155"/>
      <c r="T911" s="280"/>
      <c r="V911" s="281"/>
    </row>
    <row r="912" spans="1:22" x14ac:dyDescent="0.25">
      <c r="A912" s="270" t="s">
        <v>411</v>
      </c>
      <c r="B912" s="31" t="s">
        <v>410</v>
      </c>
      <c r="C912" s="31" t="s">
        <v>418</v>
      </c>
      <c r="D912" s="31" t="s">
        <v>600</v>
      </c>
      <c r="E912" s="31" t="s">
        <v>234</v>
      </c>
      <c r="F912" s="35" t="s">
        <v>464</v>
      </c>
      <c r="G912" s="33" t="s">
        <v>867</v>
      </c>
      <c r="H912" s="33" t="s">
        <v>603</v>
      </c>
      <c r="I912" s="36" t="s">
        <v>553</v>
      </c>
      <c r="J912" s="36" t="s">
        <v>581</v>
      </c>
      <c r="K912" s="36" t="s">
        <v>1038</v>
      </c>
      <c r="L912" s="37">
        <v>174000</v>
      </c>
      <c r="M912" s="271">
        <v>160000</v>
      </c>
      <c r="N912" s="34"/>
      <c r="O912" s="34"/>
      <c r="P912" s="272" t="s">
        <v>1270</v>
      </c>
      <c r="R912" s="271"/>
      <c r="S912" s="155"/>
      <c r="T912" s="280"/>
      <c r="V912" s="281"/>
    </row>
    <row r="913" spans="1:22" x14ac:dyDescent="0.25">
      <c r="A913" s="270" t="s">
        <v>411</v>
      </c>
      <c r="B913" s="31" t="s">
        <v>410</v>
      </c>
      <c r="C913" s="31" t="s">
        <v>418</v>
      </c>
      <c r="D913" s="31" t="s">
        <v>600</v>
      </c>
      <c r="E913" s="31" t="s">
        <v>234</v>
      </c>
      <c r="F913" s="35" t="s">
        <v>464</v>
      </c>
      <c r="G913" s="33" t="s">
        <v>545</v>
      </c>
      <c r="H913" s="33" t="s">
        <v>603</v>
      </c>
      <c r="I913" s="36" t="s">
        <v>553</v>
      </c>
      <c r="J913" s="36" t="s">
        <v>582</v>
      </c>
      <c r="K913" s="36" t="s">
        <v>902</v>
      </c>
      <c r="L913" s="37">
        <v>20000</v>
      </c>
      <c r="M913" s="271">
        <v>20000</v>
      </c>
      <c r="N913" s="34"/>
      <c r="O913" s="34"/>
      <c r="P913" s="272" t="s">
        <v>1271</v>
      </c>
      <c r="R913" s="271"/>
      <c r="S913" s="155"/>
      <c r="T913" s="280"/>
      <c r="V913" s="281"/>
    </row>
    <row r="914" spans="1:22" x14ac:dyDescent="0.25">
      <c r="A914" s="270" t="s">
        <v>411</v>
      </c>
      <c r="B914" s="31" t="s">
        <v>410</v>
      </c>
      <c r="C914" s="31" t="s">
        <v>418</v>
      </c>
      <c r="D914" s="31" t="s">
        <v>600</v>
      </c>
      <c r="E914" s="31" t="s">
        <v>234</v>
      </c>
      <c r="F914" s="35" t="s">
        <v>464</v>
      </c>
      <c r="G914" s="33" t="s">
        <v>926</v>
      </c>
      <c r="H914" s="33" t="s">
        <v>603</v>
      </c>
      <c r="I914" s="36" t="s">
        <v>553</v>
      </c>
      <c r="J914" s="36" t="s">
        <v>582</v>
      </c>
      <c r="K914" s="36" t="s">
        <v>902</v>
      </c>
      <c r="L914" s="37">
        <v>22000</v>
      </c>
      <c r="M914" s="279">
        <v>22000</v>
      </c>
      <c r="N914" s="34"/>
      <c r="O914" s="34" t="s">
        <v>926</v>
      </c>
      <c r="P914" s="272" t="s">
        <v>1272</v>
      </c>
      <c r="R914" s="279"/>
      <c r="S914" s="155"/>
      <c r="T914" s="280"/>
      <c r="V914" s="281"/>
    </row>
    <row r="915" spans="1:22" x14ac:dyDescent="0.25">
      <c r="A915" s="270" t="s">
        <v>411</v>
      </c>
      <c r="B915" s="31" t="s">
        <v>410</v>
      </c>
      <c r="C915" s="31" t="s">
        <v>418</v>
      </c>
      <c r="D915" s="31" t="s">
        <v>600</v>
      </c>
      <c r="E915" s="31" t="s">
        <v>234</v>
      </c>
      <c r="F915" s="35" t="s">
        <v>464</v>
      </c>
      <c r="G915" s="33" t="s">
        <v>929</v>
      </c>
      <c r="H915" s="33" t="s">
        <v>602</v>
      </c>
      <c r="I915" s="36" t="s">
        <v>553</v>
      </c>
      <c r="J915" s="36" t="s">
        <v>582</v>
      </c>
      <c r="K915" s="36" t="s">
        <v>902</v>
      </c>
      <c r="L915" s="37">
        <v>52000</v>
      </c>
      <c r="M915" s="271">
        <v>52000</v>
      </c>
      <c r="N915" s="34" t="s">
        <v>929</v>
      </c>
      <c r="O915" s="34" t="s">
        <v>1005</v>
      </c>
      <c r="P915" s="272" t="s">
        <v>1273</v>
      </c>
      <c r="R915" s="271"/>
      <c r="S915" s="155"/>
      <c r="T915" s="280"/>
      <c r="V915" s="281"/>
    </row>
    <row r="916" spans="1:22" x14ac:dyDescent="0.25">
      <c r="A916" s="270" t="s">
        <v>411</v>
      </c>
      <c r="B916" s="31" t="s">
        <v>410</v>
      </c>
      <c r="C916" s="31" t="s">
        <v>418</v>
      </c>
      <c r="D916" s="31" t="s">
        <v>600</v>
      </c>
      <c r="E916" s="31" t="s">
        <v>234</v>
      </c>
      <c r="F916" s="35" t="s">
        <v>464</v>
      </c>
      <c r="G916" s="33" t="s">
        <v>929</v>
      </c>
      <c r="H916" s="33" t="s">
        <v>602</v>
      </c>
      <c r="I916" s="36" t="s">
        <v>553</v>
      </c>
      <c r="J916" s="36" t="s">
        <v>582</v>
      </c>
      <c r="K916" s="36" t="s">
        <v>1010</v>
      </c>
      <c r="L916" s="37">
        <v>36000</v>
      </c>
      <c r="M916" s="271">
        <v>36000</v>
      </c>
      <c r="N916" s="34" t="s">
        <v>929</v>
      </c>
      <c r="O916" s="34" t="s">
        <v>1010</v>
      </c>
      <c r="P916" s="272" t="s">
        <v>1274</v>
      </c>
      <c r="R916" s="271"/>
      <c r="S916" s="155"/>
      <c r="T916" s="280"/>
      <c r="V916" s="281"/>
    </row>
    <row r="917" spans="1:22" x14ac:dyDescent="0.25">
      <c r="A917" s="270" t="s">
        <v>411</v>
      </c>
      <c r="B917" s="31" t="s">
        <v>410</v>
      </c>
      <c r="C917" s="31" t="s">
        <v>418</v>
      </c>
      <c r="D917" s="31" t="s">
        <v>600</v>
      </c>
      <c r="E917" s="31" t="s">
        <v>234</v>
      </c>
      <c r="F917" s="35" t="s">
        <v>464</v>
      </c>
      <c r="G917" s="33" t="s">
        <v>929</v>
      </c>
      <c r="H917" s="33" t="s">
        <v>602</v>
      </c>
      <c r="I917" s="36" t="s">
        <v>553</v>
      </c>
      <c r="J917" s="36" t="s">
        <v>582</v>
      </c>
      <c r="K917" s="36" t="s">
        <v>574</v>
      </c>
      <c r="L917" s="37">
        <f>24000*3</f>
        <v>72000</v>
      </c>
      <c r="M917" s="271">
        <v>72000</v>
      </c>
      <c r="N917" s="34" t="s">
        <v>929</v>
      </c>
      <c r="O917" s="34" t="s">
        <v>574</v>
      </c>
      <c r="P917" s="272" t="s">
        <v>1275</v>
      </c>
      <c r="R917" s="271"/>
      <c r="S917" s="155"/>
      <c r="T917" s="154"/>
      <c r="V917" s="281"/>
    </row>
    <row r="918" spans="1:22" x14ac:dyDescent="0.25">
      <c r="A918" s="270" t="s">
        <v>411</v>
      </c>
      <c r="B918" s="31" t="s">
        <v>410</v>
      </c>
      <c r="C918" s="31" t="s">
        <v>418</v>
      </c>
      <c r="D918" s="31" t="s">
        <v>600</v>
      </c>
      <c r="E918" s="31" t="s">
        <v>234</v>
      </c>
      <c r="F918" s="35" t="s">
        <v>464</v>
      </c>
      <c r="G918" s="33" t="s">
        <v>520</v>
      </c>
      <c r="H918" s="33" t="s">
        <v>603</v>
      </c>
      <c r="I918" s="36" t="s">
        <v>553</v>
      </c>
      <c r="J918" s="36" t="s">
        <v>881</v>
      </c>
      <c r="K918" s="36" t="s">
        <v>903</v>
      </c>
      <c r="L918" s="37">
        <v>30000</v>
      </c>
      <c r="M918" s="271">
        <v>28000</v>
      </c>
      <c r="N918" s="34"/>
      <c r="O918" s="34"/>
      <c r="P918" s="272" t="s">
        <v>1276</v>
      </c>
      <c r="R918" s="271"/>
      <c r="S918" s="155"/>
      <c r="T918" s="154"/>
      <c r="V918" s="281"/>
    </row>
    <row r="919" spans="1:22" x14ac:dyDescent="0.25">
      <c r="A919" s="270" t="s">
        <v>411</v>
      </c>
      <c r="B919" s="31" t="s">
        <v>410</v>
      </c>
      <c r="C919" s="31" t="s">
        <v>418</v>
      </c>
      <c r="D919" s="31" t="s">
        <v>600</v>
      </c>
      <c r="E919" s="31" t="s">
        <v>234</v>
      </c>
      <c r="F919" s="35" t="s">
        <v>464</v>
      </c>
      <c r="G919" s="33" t="s">
        <v>489</v>
      </c>
      <c r="H919" s="33" t="s">
        <v>603</v>
      </c>
      <c r="I919" s="36" t="s">
        <v>555</v>
      </c>
      <c r="J919" s="36" t="s">
        <v>579</v>
      </c>
      <c r="K919" s="36" t="s">
        <v>587</v>
      </c>
      <c r="L919" s="37">
        <v>104000</v>
      </c>
      <c r="M919" s="271">
        <v>104000</v>
      </c>
      <c r="N919" s="34"/>
      <c r="O919" s="34"/>
      <c r="P919" s="272" t="s">
        <v>1277</v>
      </c>
      <c r="R919" s="271"/>
      <c r="S919" s="155"/>
      <c r="T919" s="154"/>
      <c r="V919" s="281"/>
    </row>
    <row r="920" spans="1:22" x14ac:dyDescent="0.25">
      <c r="A920" s="270" t="s">
        <v>411</v>
      </c>
      <c r="B920" s="31" t="s">
        <v>410</v>
      </c>
      <c r="C920" s="31" t="s">
        <v>418</v>
      </c>
      <c r="D920" s="31" t="s">
        <v>600</v>
      </c>
      <c r="E920" s="31" t="s">
        <v>234</v>
      </c>
      <c r="F920" s="35" t="s">
        <v>464</v>
      </c>
      <c r="G920" s="33" t="s">
        <v>499</v>
      </c>
      <c r="H920" s="33" t="s">
        <v>603</v>
      </c>
      <c r="I920" s="36" t="s">
        <v>555</v>
      </c>
      <c r="J920" s="36" t="s">
        <v>579</v>
      </c>
      <c r="K920" s="36" t="s">
        <v>587</v>
      </c>
      <c r="L920" s="37">
        <v>10000</v>
      </c>
      <c r="M920" s="271">
        <v>10000</v>
      </c>
      <c r="N920" s="34"/>
      <c r="O920" s="34"/>
      <c r="P920" s="272" t="s">
        <v>1278</v>
      </c>
      <c r="R920" s="271"/>
      <c r="S920" s="155"/>
      <c r="T920" s="154"/>
      <c r="V920" s="281"/>
    </row>
    <row r="921" spans="1:22" x14ac:dyDescent="0.25">
      <c r="A921" s="270" t="s">
        <v>411</v>
      </c>
      <c r="B921" s="31" t="s">
        <v>410</v>
      </c>
      <c r="C921" s="31" t="s">
        <v>418</v>
      </c>
      <c r="D921" s="31" t="s">
        <v>600</v>
      </c>
      <c r="E921" s="31" t="s">
        <v>234</v>
      </c>
      <c r="F921" s="35" t="s">
        <v>464</v>
      </c>
      <c r="G921" s="33" t="s">
        <v>498</v>
      </c>
      <c r="H921" s="33" t="s">
        <v>603</v>
      </c>
      <c r="I921" s="36" t="s">
        <v>555</v>
      </c>
      <c r="J921" s="36" t="s">
        <v>579</v>
      </c>
      <c r="K921" s="36" t="s">
        <v>587</v>
      </c>
      <c r="L921" s="37">
        <v>12000</v>
      </c>
      <c r="M921" s="271">
        <v>12000</v>
      </c>
      <c r="N921" s="34"/>
      <c r="O921" s="34"/>
      <c r="P921" s="272" t="s">
        <v>1279</v>
      </c>
      <c r="R921" s="271"/>
      <c r="S921" s="155"/>
      <c r="T921" s="154"/>
      <c r="V921" s="281"/>
    </row>
    <row r="922" spans="1:22" x14ac:dyDescent="0.25">
      <c r="A922" s="270" t="s">
        <v>411</v>
      </c>
      <c r="B922" s="31" t="s">
        <v>410</v>
      </c>
      <c r="C922" s="31" t="s">
        <v>418</v>
      </c>
      <c r="D922" s="31" t="s">
        <v>600</v>
      </c>
      <c r="E922" s="31" t="s">
        <v>234</v>
      </c>
      <c r="F922" s="35" t="s">
        <v>464</v>
      </c>
      <c r="G922" s="33" t="s">
        <v>494</v>
      </c>
      <c r="H922" s="33" t="s">
        <v>603</v>
      </c>
      <c r="I922" s="36" t="s">
        <v>555</v>
      </c>
      <c r="J922" s="36" t="s">
        <v>579</v>
      </c>
      <c r="K922" s="36" t="s">
        <v>587</v>
      </c>
      <c r="L922" s="37">
        <v>12000</v>
      </c>
      <c r="M922" s="271">
        <v>12000</v>
      </c>
      <c r="N922" s="34"/>
      <c r="O922" s="34"/>
      <c r="P922" s="272" t="s">
        <v>1280</v>
      </c>
      <c r="R922" s="271"/>
      <c r="S922" s="155"/>
      <c r="T922" s="154"/>
      <c r="V922" s="281"/>
    </row>
    <row r="923" spans="1:22" x14ac:dyDescent="0.25">
      <c r="A923" s="270" t="s">
        <v>411</v>
      </c>
      <c r="B923" s="31" t="s">
        <v>410</v>
      </c>
      <c r="C923" s="31" t="s">
        <v>418</v>
      </c>
      <c r="D923" s="31" t="s">
        <v>600</v>
      </c>
      <c r="E923" s="31" t="s">
        <v>234</v>
      </c>
      <c r="F923" s="35" t="s">
        <v>464</v>
      </c>
      <c r="G923" s="33" t="s">
        <v>961</v>
      </c>
      <c r="H923" s="33" t="s">
        <v>603</v>
      </c>
      <c r="I923" s="36" t="s">
        <v>555</v>
      </c>
      <c r="J923" s="36" t="s">
        <v>579</v>
      </c>
      <c r="K923" s="36" t="s">
        <v>587</v>
      </c>
      <c r="L923" s="37">
        <v>10000</v>
      </c>
      <c r="M923" s="271">
        <v>10000</v>
      </c>
      <c r="N923" s="34"/>
      <c r="O923" s="34"/>
      <c r="P923" s="272" t="s">
        <v>1281</v>
      </c>
      <c r="R923" s="271"/>
      <c r="S923" s="155"/>
      <c r="T923" s="154"/>
      <c r="V923" s="281"/>
    </row>
    <row r="924" spans="1:22" x14ac:dyDescent="0.25">
      <c r="A924" s="270" t="s">
        <v>411</v>
      </c>
      <c r="B924" s="31" t="s">
        <v>410</v>
      </c>
      <c r="C924" s="31" t="s">
        <v>418</v>
      </c>
      <c r="D924" s="31" t="s">
        <v>600</v>
      </c>
      <c r="E924" s="31" t="s">
        <v>234</v>
      </c>
      <c r="F924" s="35" t="s">
        <v>464</v>
      </c>
      <c r="G924" s="33" t="s">
        <v>929</v>
      </c>
      <c r="H924" s="33" t="s">
        <v>602</v>
      </c>
      <c r="I924" s="36" t="s">
        <v>555</v>
      </c>
      <c r="J924" s="36" t="s">
        <v>579</v>
      </c>
      <c r="K924" s="36" t="s">
        <v>935</v>
      </c>
      <c r="L924" s="37">
        <f>2*24000</f>
        <v>48000</v>
      </c>
      <c r="M924" s="271">
        <f>2*24000</f>
        <v>48000</v>
      </c>
      <c r="N924" s="34" t="s">
        <v>929</v>
      </c>
      <c r="O924" s="34" t="s">
        <v>936</v>
      </c>
      <c r="P924" s="272" t="s">
        <v>1282</v>
      </c>
      <c r="R924" s="271"/>
      <c r="S924" s="155"/>
      <c r="T924" s="154"/>
      <c r="V924" s="281"/>
    </row>
    <row r="925" spans="1:22" x14ac:dyDescent="0.25">
      <c r="A925" s="270" t="s">
        <v>411</v>
      </c>
      <c r="B925" s="31" t="s">
        <v>410</v>
      </c>
      <c r="C925" s="31" t="s">
        <v>418</v>
      </c>
      <c r="D925" s="31" t="s">
        <v>600</v>
      </c>
      <c r="E925" s="31" t="s">
        <v>234</v>
      </c>
      <c r="F925" s="35" t="s">
        <v>464</v>
      </c>
      <c r="G925" s="33" t="s">
        <v>929</v>
      </c>
      <c r="H925" s="33" t="s">
        <v>602</v>
      </c>
      <c r="I925" s="36" t="s">
        <v>555</v>
      </c>
      <c r="J925" s="36" t="s">
        <v>579</v>
      </c>
      <c r="K925" s="36" t="s">
        <v>935</v>
      </c>
      <c r="L925" s="37">
        <v>112000</v>
      </c>
      <c r="M925" s="271">
        <v>112000</v>
      </c>
      <c r="N925" s="34" t="s">
        <v>929</v>
      </c>
      <c r="O925" s="34" t="s">
        <v>947</v>
      </c>
      <c r="P925" s="272" t="s">
        <v>1283</v>
      </c>
      <c r="R925" s="271"/>
      <c r="S925" s="155"/>
      <c r="T925" s="154"/>
      <c r="V925" s="281"/>
    </row>
    <row r="926" spans="1:22" x14ac:dyDescent="0.25">
      <c r="A926" s="270" t="s">
        <v>411</v>
      </c>
      <c r="B926" s="31" t="s">
        <v>410</v>
      </c>
      <c r="C926" s="31" t="s">
        <v>418</v>
      </c>
      <c r="D926" s="31" t="s">
        <v>600</v>
      </c>
      <c r="E926" s="31" t="s">
        <v>234</v>
      </c>
      <c r="F926" s="35" t="s">
        <v>464</v>
      </c>
      <c r="G926" s="33" t="s">
        <v>501</v>
      </c>
      <c r="H926" s="33" t="s">
        <v>603</v>
      </c>
      <c r="I926" s="36" t="s">
        <v>555</v>
      </c>
      <c r="J926" s="36" t="s">
        <v>577</v>
      </c>
      <c r="K926" s="36" t="s">
        <v>1059</v>
      </c>
      <c r="L926" s="37">
        <v>156000</v>
      </c>
      <c r="M926" s="271">
        <v>150000</v>
      </c>
      <c r="N926" s="34"/>
      <c r="O926" s="34" t="s">
        <v>1061</v>
      </c>
      <c r="P926" s="272" t="s">
        <v>1235</v>
      </c>
      <c r="R926" s="271"/>
      <c r="S926" s="155"/>
      <c r="T926" s="154"/>
      <c r="V926" s="281"/>
    </row>
    <row r="927" spans="1:22" x14ac:dyDescent="0.25">
      <c r="A927" s="270" t="s">
        <v>411</v>
      </c>
      <c r="B927" s="31" t="s">
        <v>410</v>
      </c>
      <c r="C927" s="31" t="s">
        <v>418</v>
      </c>
      <c r="D927" s="31" t="s">
        <v>600</v>
      </c>
      <c r="E927" s="31" t="s">
        <v>234</v>
      </c>
      <c r="F927" s="35" t="s">
        <v>464</v>
      </c>
      <c r="G927" s="33" t="s">
        <v>1082</v>
      </c>
      <c r="H927" s="33" t="s">
        <v>603</v>
      </c>
      <c r="I927" s="36" t="s">
        <v>555</v>
      </c>
      <c r="J927" s="36" t="s">
        <v>577</v>
      </c>
      <c r="K927" s="36" t="s">
        <v>1059</v>
      </c>
      <c r="L927" s="37">
        <v>0</v>
      </c>
      <c r="M927" s="271">
        <v>0</v>
      </c>
      <c r="N927" s="34"/>
      <c r="O927" s="34" t="s">
        <v>1083</v>
      </c>
      <c r="P927" s="272" t="s">
        <v>1284</v>
      </c>
      <c r="R927" s="271"/>
      <c r="S927" s="155"/>
      <c r="T927" s="154"/>
      <c r="V927" s="281"/>
    </row>
    <row r="928" spans="1:22" x14ac:dyDescent="0.25">
      <c r="A928" s="270" t="s">
        <v>411</v>
      </c>
      <c r="B928" s="31" t="s">
        <v>410</v>
      </c>
      <c r="C928" s="31" t="s">
        <v>418</v>
      </c>
      <c r="D928" s="31" t="s">
        <v>600</v>
      </c>
      <c r="E928" s="31" t="s">
        <v>234</v>
      </c>
      <c r="F928" s="35" t="s">
        <v>464</v>
      </c>
      <c r="G928" s="33" t="s">
        <v>1067</v>
      </c>
      <c r="H928" s="33" t="s">
        <v>603</v>
      </c>
      <c r="I928" s="36" t="s">
        <v>555</v>
      </c>
      <c r="J928" s="36" t="s">
        <v>577</v>
      </c>
      <c r="K928" s="36" t="s">
        <v>589</v>
      </c>
      <c r="L928" s="37">
        <v>100000</v>
      </c>
      <c r="M928" s="271">
        <v>90000</v>
      </c>
      <c r="N928" s="34"/>
      <c r="O928" s="34" t="s">
        <v>1076</v>
      </c>
      <c r="P928" s="272" t="s">
        <v>1285</v>
      </c>
      <c r="R928" s="271"/>
      <c r="S928" s="155"/>
      <c r="T928" s="154"/>
      <c r="V928" s="281"/>
    </row>
    <row r="929" spans="1:22" x14ac:dyDescent="0.25">
      <c r="A929" s="270" t="s">
        <v>411</v>
      </c>
      <c r="B929" s="31" t="s">
        <v>410</v>
      </c>
      <c r="C929" s="31" t="s">
        <v>418</v>
      </c>
      <c r="D929" s="31" t="s">
        <v>600</v>
      </c>
      <c r="E929" s="31" t="s">
        <v>234</v>
      </c>
      <c r="F929" s="35" t="s">
        <v>464</v>
      </c>
      <c r="G929" s="33" t="s">
        <v>1077</v>
      </c>
      <c r="H929" s="33" t="s">
        <v>603</v>
      </c>
      <c r="I929" s="36" t="s">
        <v>555</v>
      </c>
      <c r="J929" s="36" t="s">
        <v>577</v>
      </c>
      <c r="K929" s="36" t="s">
        <v>509</v>
      </c>
      <c r="L929" s="37">
        <v>4000</v>
      </c>
      <c r="M929" s="271">
        <v>4000</v>
      </c>
      <c r="N929" s="34"/>
      <c r="O929" s="34" t="s">
        <v>1078</v>
      </c>
      <c r="P929" s="272" t="s">
        <v>1286</v>
      </c>
      <c r="R929" s="271"/>
      <c r="S929" s="155"/>
      <c r="T929" s="154"/>
      <c r="V929" s="281"/>
    </row>
    <row r="930" spans="1:22" x14ac:dyDescent="0.25">
      <c r="A930" s="270" t="s">
        <v>411</v>
      </c>
      <c r="B930" s="31" t="s">
        <v>410</v>
      </c>
      <c r="C930" s="31" t="s">
        <v>418</v>
      </c>
      <c r="D930" s="31" t="s">
        <v>600</v>
      </c>
      <c r="E930" s="31" t="s">
        <v>234</v>
      </c>
      <c r="F930" s="35" t="s">
        <v>464</v>
      </c>
      <c r="G930" s="33" t="s">
        <v>1146</v>
      </c>
      <c r="H930" s="33" t="s">
        <v>603</v>
      </c>
      <c r="I930" s="36" t="s">
        <v>555</v>
      </c>
      <c r="J930" s="36" t="s">
        <v>577</v>
      </c>
      <c r="K930" s="36" t="s">
        <v>501</v>
      </c>
      <c r="L930" s="37">
        <v>20000</v>
      </c>
      <c r="M930" s="271">
        <v>20000</v>
      </c>
      <c r="N930" s="34"/>
      <c r="O930" s="34" t="s">
        <v>501</v>
      </c>
      <c r="P930" s="272" t="s">
        <v>1287</v>
      </c>
      <c r="R930" s="271"/>
      <c r="S930" s="155"/>
      <c r="T930" s="154"/>
      <c r="V930" s="281"/>
    </row>
    <row r="931" spans="1:22" x14ac:dyDescent="0.25">
      <c r="A931" s="270" t="s">
        <v>411</v>
      </c>
      <c r="B931" s="31" t="s">
        <v>410</v>
      </c>
      <c r="C931" s="31" t="s">
        <v>418</v>
      </c>
      <c r="D931" s="31" t="s">
        <v>600</v>
      </c>
      <c r="E931" s="31" t="s">
        <v>234</v>
      </c>
      <c r="F931" s="35" t="s">
        <v>464</v>
      </c>
      <c r="G931" s="33" t="s">
        <v>1068</v>
      </c>
      <c r="H931" s="33" t="s">
        <v>603</v>
      </c>
      <c r="I931" s="36" t="s">
        <v>555</v>
      </c>
      <c r="J931" s="36" t="s">
        <v>577</v>
      </c>
      <c r="K931" s="36" t="s">
        <v>510</v>
      </c>
      <c r="L931" s="37">
        <v>0</v>
      </c>
      <c r="M931" s="271">
        <v>0</v>
      </c>
      <c r="N931" s="34"/>
      <c r="O931" s="34" t="s">
        <v>1070</v>
      </c>
      <c r="P931" s="272" t="s">
        <v>1288</v>
      </c>
      <c r="R931" s="271"/>
      <c r="S931" s="155"/>
      <c r="T931" s="154"/>
      <c r="V931" s="281"/>
    </row>
    <row r="932" spans="1:22" x14ac:dyDescent="0.25">
      <c r="A932" s="270" t="s">
        <v>411</v>
      </c>
      <c r="B932" s="31" t="s">
        <v>410</v>
      </c>
      <c r="C932" s="31" t="s">
        <v>418</v>
      </c>
      <c r="D932" s="31" t="s">
        <v>600</v>
      </c>
      <c r="E932" s="31" t="s">
        <v>234</v>
      </c>
      <c r="F932" s="35" t="s">
        <v>464</v>
      </c>
      <c r="G932" s="33" t="s">
        <v>876</v>
      </c>
      <c r="H932" s="33" t="s">
        <v>603</v>
      </c>
      <c r="I932" s="36" t="s">
        <v>555</v>
      </c>
      <c r="J932" s="36" t="s">
        <v>577</v>
      </c>
      <c r="K932" s="36" t="s">
        <v>1029</v>
      </c>
      <c r="L932" s="37">
        <v>12000</v>
      </c>
      <c r="M932" s="271">
        <v>12000</v>
      </c>
      <c r="N932" s="34"/>
      <c r="O932" s="34"/>
      <c r="P932" s="272" t="s">
        <v>1289</v>
      </c>
      <c r="R932" s="271"/>
      <c r="S932" s="155"/>
      <c r="T932" s="154"/>
      <c r="V932" s="281"/>
    </row>
    <row r="933" spans="1:22" x14ac:dyDescent="0.25">
      <c r="A933" s="270" t="s">
        <v>411</v>
      </c>
      <c r="B933" s="31" t="s">
        <v>410</v>
      </c>
      <c r="C933" s="31" t="s">
        <v>418</v>
      </c>
      <c r="D933" s="31" t="s">
        <v>600</v>
      </c>
      <c r="E933" s="31" t="s">
        <v>234</v>
      </c>
      <c r="F933" s="35" t="s">
        <v>464</v>
      </c>
      <c r="G933" s="33" t="s">
        <v>575</v>
      </c>
      <c r="H933" s="33" t="s">
        <v>603</v>
      </c>
      <c r="I933" s="36" t="s">
        <v>555</v>
      </c>
      <c r="J933" s="36" t="s">
        <v>577</v>
      </c>
      <c r="K933" s="36" t="s">
        <v>1029</v>
      </c>
      <c r="L933" s="37">
        <v>42000</v>
      </c>
      <c r="M933" s="271">
        <v>40000</v>
      </c>
      <c r="N933" s="34"/>
      <c r="O933" s="34"/>
      <c r="P933" s="272" t="s">
        <v>1290</v>
      </c>
      <c r="R933" s="271"/>
      <c r="S933" s="155"/>
      <c r="T933" s="154"/>
      <c r="V933" s="281"/>
    </row>
    <row r="934" spans="1:22" x14ac:dyDescent="0.25">
      <c r="A934" s="270" t="s">
        <v>411</v>
      </c>
      <c r="B934" s="31" t="s">
        <v>410</v>
      </c>
      <c r="C934" s="31" t="s">
        <v>418</v>
      </c>
      <c r="D934" s="31" t="s">
        <v>600</v>
      </c>
      <c r="E934" s="31" t="s">
        <v>234</v>
      </c>
      <c r="F934" s="35" t="s">
        <v>464</v>
      </c>
      <c r="G934" s="33" t="s">
        <v>1066</v>
      </c>
      <c r="H934" s="33" t="s">
        <v>603</v>
      </c>
      <c r="I934" s="36" t="s">
        <v>555</v>
      </c>
      <c r="J934" s="36" t="s">
        <v>577</v>
      </c>
      <c r="K934" s="36" t="s">
        <v>996</v>
      </c>
      <c r="L934" s="37">
        <v>0</v>
      </c>
      <c r="M934" s="271">
        <v>0</v>
      </c>
      <c r="N934" s="34"/>
      <c r="O934" s="34" t="s">
        <v>1063</v>
      </c>
      <c r="P934" s="272" t="s">
        <v>1291</v>
      </c>
      <c r="R934" s="271"/>
      <c r="S934" s="155"/>
      <c r="T934" s="154"/>
      <c r="V934" s="281"/>
    </row>
    <row r="935" spans="1:22" x14ac:dyDescent="0.25">
      <c r="A935" s="270" t="s">
        <v>411</v>
      </c>
      <c r="B935" s="31" t="s">
        <v>410</v>
      </c>
      <c r="C935" s="31" t="s">
        <v>418</v>
      </c>
      <c r="D935" s="31" t="s">
        <v>600</v>
      </c>
      <c r="E935" s="31" t="s">
        <v>234</v>
      </c>
      <c r="F935" s="35" t="s">
        <v>464</v>
      </c>
      <c r="G935" s="33" t="s">
        <v>554</v>
      </c>
      <c r="H935" s="33" t="s">
        <v>603</v>
      </c>
      <c r="I935" s="36" t="s">
        <v>555</v>
      </c>
      <c r="J935" s="36" t="s">
        <v>577</v>
      </c>
      <c r="K935" s="36" t="s">
        <v>554</v>
      </c>
      <c r="L935" s="37">
        <v>80000</v>
      </c>
      <c r="M935" s="271">
        <v>80000</v>
      </c>
      <c r="N935" s="34"/>
      <c r="O935" s="34" t="s">
        <v>554</v>
      </c>
      <c r="P935" s="272" t="s">
        <v>1243</v>
      </c>
      <c r="R935" s="271"/>
      <c r="S935" s="155"/>
      <c r="T935" s="154"/>
      <c r="V935" s="281"/>
    </row>
    <row r="936" spans="1:22" x14ac:dyDescent="0.25">
      <c r="A936" s="270" t="s">
        <v>411</v>
      </c>
      <c r="B936" s="31" t="s">
        <v>410</v>
      </c>
      <c r="C936" s="31" t="s">
        <v>418</v>
      </c>
      <c r="D936" s="31" t="s">
        <v>600</v>
      </c>
      <c r="E936" s="31" t="s">
        <v>234</v>
      </c>
      <c r="F936" s="35" t="s">
        <v>464</v>
      </c>
      <c r="G936" s="33" t="s">
        <v>1117</v>
      </c>
      <c r="H936" s="33" t="s">
        <v>603</v>
      </c>
      <c r="I936" s="36" t="s">
        <v>555</v>
      </c>
      <c r="J936" s="36" t="s">
        <v>578</v>
      </c>
      <c r="K936" s="36" t="s">
        <v>1118</v>
      </c>
      <c r="L936" s="37">
        <v>1278000</v>
      </c>
      <c r="M936" s="271">
        <v>1268000</v>
      </c>
      <c r="N936" s="34"/>
      <c r="O936" s="34" t="s">
        <v>1119</v>
      </c>
      <c r="P936" s="272" t="s">
        <v>1244</v>
      </c>
      <c r="R936" s="271"/>
      <c r="S936" s="155"/>
      <c r="T936" s="154"/>
      <c r="V936" s="281"/>
    </row>
    <row r="937" spans="1:22" x14ac:dyDescent="0.25">
      <c r="A937" s="270" t="s">
        <v>411</v>
      </c>
      <c r="B937" s="31" t="s">
        <v>410</v>
      </c>
      <c r="C937" s="31" t="s">
        <v>418</v>
      </c>
      <c r="D937" s="31" t="s">
        <v>600</v>
      </c>
      <c r="E937" s="31" t="s">
        <v>234</v>
      </c>
      <c r="F937" s="35" t="s">
        <v>464</v>
      </c>
      <c r="G937" s="33" t="s">
        <v>596</v>
      </c>
      <c r="H937" s="33" t="s">
        <v>603</v>
      </c>
      <c r="I937" s="36" t="s">
        <v>555</v>
      </c>
      <c r="J937" s="36" t="s">
        <v>578</v>
      </c>
      <c r="K937" s="36" t="s">
        <v>604</v>
      </c>
      <c r="L937" s="37">
        <v>12000</v>
      </c>
      <c r="M937" s="271">
        <v>12000</v>
      </c>
      <c r="N937" s="34"/>
      <c r="O937" s="34"/>
      <c r="P937" s="272" t="s">
        <v>1292</v>
      </c>
      <c r="R937" s="271"/>
      <c r="S937" s="155"/>
      <c r="T937" s="154"/>
      <c r="V937" s="281"/>
    </row>
    <row r="938" spans="1:22" x14ac:dyDescent="0.25">
      <c r="A938" s="270" t="s">
        <v>411</v>
      </c>
      <c r="B938" s="31" t="s">
        <v>410</v>
      </c>
      <c r="C938" s="31" t="s">
        <v>418</v>
      </c>
      <c r="D938" s="31" t="s">
        <v>600</v>
      </c>
      <c r="E938" s="31" t="s">
        <v>234</v>
      </c>
      <c r="F938" s="35" t="s">
        <v>464</v>
      </c>
      <c r="G938" s="33" t="s">
        <v>527</v>
      </c>
      <c r="H938" s="33" t="s">
        <v>603</v>
      </c>
      <c r="I938" s="36" t="s">
        <v>555</v>
      </c>
      <c r="J938" s="36" t="s">
        <v>578</v>
      </c>
      <c r="K938" s="36" t="s">
        <v>604</v>
      </c>
      <c r="L938" s="37">
        <v>20000</v>
      </c>
      <c r="M938" s="271">
        <v>20000</v>
      </c>
      <c r="N938" s="34"/>
      <c r="O938" s="34"/>
      <c r="P938" s="272" t="s">
        <v>1293</v>
      </c>
      <c r="R938" s="271"/>
      <c r="S938" s="155"/>
      <c r="T938" s="154"/>
      <c r="V938" s="281"/>
    </row>
    <row r="939" spans="1:22" x14ac:dyDescent="0.25">
      <c r="A939" s="270" t="s">
        <v>411</v>
      </c>
      <c r="B939" s="31" t="s">
        <v>410</v>
      </c>
      <c r="C939" s="31" t="s">
        <v>418</v>
      </c>
      <c r="D939" s="31" t="s">
        <v>600</v>
      </c>
      <c r="E939" s="31" t="s">
        <v>234</v>
      </c>
      <c r="F939" s="35" t="s">
        <v>464</v>
      </c>
      <c r="G939" s="33" t="s">
        <v>527</v>
      </c>
      <c r="H939" s="33" t="s">
        <v>603</v>
      </c>
      <c r="I939" s="36" t="s">
        <v>555</v>
      </c>
      <c r="J939" s="36" t="s">
        <v>578</v>
      </c>
      <c r="K939" s="36" t="s">
        <v>604</v>
      </c>
      <c r="L939" s="37">
        <v>20000</v>
      </c>
      <c r="M939" s="271">
        <v>20000</v>
      </c>
      <c r="N939" s="34"/>
      <c r="O939" s="34"/>
      <c r="P939" s="272" t="s">
        <v>1294</v>
      </c>
      <c r="R939" s="271"/>
      <c r="S939" s="155"/>
      <c r="T939" s="154"/>
      <c r="V939" s="281"/>
    </row>
    <row r="940" spans="1:22" x14ac:dyDescent="0.25">
      <c r="A940" s="270" t="s">
        <v>411</v>
      </c>
      <c r="B940" s="31" t="s">
        <v>410</v>
      </c>
      <c r="C940" s="31" t="s">
        <v>418</v>
      </c>
      <c r="D940" s="31" t="s">
        <v>600</v>
      </c>
      <c r="E940" s="31" t="s">
        <v>234</v>
      </c>
      <c r="F940" s="35" t="s">
        <v>464</v>
      </c>
      <c r="G940" s="33" t="s">
        <v>525</v>
      </c>
      <c r="H940" s="33" t="s">
        <v>603</v>
      </c>
      <c r="I940" s="36" t="s">
        <v>555</v>
      </c>
      <c r="J940" s="36" t="s">
        <v>578</v>
      </c>
      <c r="K940" s="36" t="s">
        <v>604</v>
      </c>
      <c r="L940" s="37">
        <v>12000</v>
      </c>
      <c r="M940" s="271">
        <v>12000</v>
      </c>
      <c r="N940" s="34"/>
      <c r="O940" s="34"/>
      <c r="P940" s="272" t="s">
        <v>1295</v>
      </c>
      <c r="R940" s="271"/>
      <c r="S940" s="155"/>
      <c r="T940" s="154"/>
      <c r="V940" s="281"/>
    </row>
    <row r="941" spans="1:22" x14ac:dyDescent="0.25">
      <c r="A941" s="270" t="s">
        <v>411</v>
      </c>
      <c r="B941" s="31" t="s">
        <v>410</v>
      </c>
      <c r="C941" s="31" t="s">
        <v>418</v>
      </c>
      <c r="D941" s="31" t="s">
        <v>600</v>
      </c>
      <c r="E941" s="31" t="s">
        <v>234</v>
      </c>
      <c r="F941" s="35" t="s">
        <v>464</v>
      </c>
      <c r="G941" s="33" t="s">
        <v>929</v>
      </c>
      <c r="H941" s="33" t="s">
        <v>602</v>
      </c>
      <c r="I941" s="36" t="s">
        <v>555</v>
      </c>
      <c r="J941" s="36" t="s">
        <v>578</v>
      </c>
      <c r="K941" s="36" t="s">
        <v>571</v>
      </c>
      <c r="L941" s="37">
        <v>26000</v>
      </c>
      <c r="M941" s="271">
        <v>26000</v>
      </c>
      <c r="N941" s="34" t="s">
        <v>929</v>
      </c>
      <c r="O941" s="34" t="s">
        <v>930</v>
      </c>
      <c r="P941" s="272" t="s">
        <v>1296</v>
      </c>
      <c r="R941" s="271"/>
      <c r="S941" s="155"/>
      <c r="T941" s="154"/>
      <c r="V941" s="281"/>
    </row>
    <row r="942" spans="1:22" x14ac:dyDescent="0.25">
      <c r="A942" s="270" t="s">
        <v>411</v>
      </c>
      <c r="B942" s="31" t="s">
        <v>410</v>
      </c>
      <c r="C942" s="31" t="s">
        <v>418</v>
      </c>
      <c r="D942" s="31" t="s">
        <v>600</v>
      </c>
      <c r="E942" s="31" t="s">
        <v>234</v>
      </c>
      <c r="F942" s="35" t="s">
        <v>464</v>
      </c>
      <c r="G942" s="33" t="s">
        <v>929</v>
      </c>
      <c r="H942" s="33" t="s">
        <v>602</v>
      </c>
      <c r="I942" s="36" t="s">
        <v>555</v>
      </c>
      <c r="J942" s="36" t="s">
        <v>578</v>
      </c>
      <c r="K942" s="36" t="s">
        <v>571</v>
      </c>
      <c r="L942" s="37">
        <v>24000</v>
      </c>
      <c r="M942" s="271">
        <v>24000</v>
      </c>
      <c r="N942" s="34" t="s">
        <v>929</v>
      </c>
      <c r="O942" s="34" t="s">
        <v>931</v>
      </c>
      <c r="P942" s="272" t="s">
        <v>1297</v>
      </c>
      <c r="R942" s="271"/>
      <c r="S942" s="155"/>
      <c r="T942" s="154"/>
      <c r="V942" s="281"/>
    </row>
    <row r="943" spans="1:22" x14ac:dyDescent="0.25">
      <c r="A943" s="270" t="s">
        <v>411</v>
      </c>
      <c r="B943" s="31" t="s">
        <v>410</v>
      </c>
      <c r="C943" s="31" t="s">
        <v>418</v>
      </c>
      <c r="D943" s="31" t="s">
        <v>600</v>
      </c>
      <c r="E943" s="31" t="s">
        <v>234</v>
      </c>
      <c r="F943" s="35" t="s">
        <v>464</v>
      </c>
      <c r="G943" s="33" t="s">
        <v>929</v>
      </c>
      <c r="H943" s="33" t="s">
        <v>602</v>
      </c>
      <c r="I943" s="36" t="s">
        <v>555</v>
      </c>
      <c r="J943" s="36" t="s">
        <v>578</v>
      </c>
      <c r="K943" s="36" t="s">
        <v>571</v>
      </c>
      <c r="L943" s="37">
        <v>162000</v>
      </c>
      <c r="M943" s="271">
        <v>162000</v>
      </c>
      <c r="N943" s="34" t="s">
        <v>929</v>
      </c>
      <c r="O943" s="34" t="s">
        <v>933</v>
      </c>
      <c r="P943" s="272" t="s">
        <v>1298</v>
      </c>
      <c r="R943" s="271"/>
      <c r="S943" s="155"/>
      <c r="T943" s="154"/>
      <c r="V943" s="281"/>
    </row>
    <row r="944" spans="1:22" x14ac:dyDescent="0.25">
      <c r="A944" s="270" t="s">
        <v>411</v>
      </c>
      <c r="B944" s="31" t="s">
        <v>410</v>
      </c>
      <c r="C944" s="31" t="s">
        <v>418</v>
      </c>
      <c r="D944" s="31" t="s">
        <v>600</v>
      </c>
      <c r="E944" s="31" t="s">
        <v>234</v>
      </c>
      <c r="F944" s="35" t="s">
        <v>464</v>
      </c>
      <c r="G944" s="33" t="s">
        <v>929</v>
      </c>
      <c r="H944" s="33" t="s">
        <v>602</v>
      </c>
      <c r="I944" s="36" t="s">
        <v>555</v>
      </c>
      <c r="J944" s="36" t="s">
        <v>578</v>
      </c>
      <c r="K944" s="36" t="s">
        <v>949</v>
      </c>
      <c r="L944" s="37">
        <v>24000</v>
      </c>
      <c r="M944" s="271">
        <v>24000</v>
      </c>
      <c r="N944" s="34" t="s">
        <v>929</v>
      </c>
      <c r="O944" s="34" t="s">
        <v>949</v>
      </c>
      <c r="P944" s="272" t="s">
        <v>1299</v>
      </c>
      <c r="R944" s="271"/>
      <c r="S944" s="155"/>
      <c r="T944" s="154"/>
      <c r="V944" s="281"/>
    </row>
    <row r="945" spans="1:22" x14ac:dyDescent="0.25">
      <c r="A945" s="270" t="s">
        <v>411</v>
      </c>
      <c r="B945" s="31" t="s">
        <v>410</v>
      </c>
      <c r="C945" s="31" t="s">
        <v>418</v>
      </c>
      <c r="D945" s="31" t="s">
        <v>600</v>
      </c>
      <c r="E945" s="31" t="s">
        <v>234</v>
      </c>
      <c r="F945" s="35" t="s">
        <v>464</v>
      </c>
      <c r="G945" s="33" t="s">
        <v>1112</v>
      </c>
      <c r="H945" s="33" t="s">
        <v>603</v>
      </c>
      <c r="I945" s="36" t="s">
        <v>555</v>
      </c>
      <c r="J945" s="36" t="s">
        <v>578</v>
      </c>
      <c r="K945" s="36" t="s">
        <v>1113</v>
      </c>
      <c r="L945" s="37">
        <v>0</v>
      </c>
      <c r="M945" s="271">
        <v>0</v>
      </c>
      <c r="N945" s="34"/>
      <c r="O945" s="34" t="s">
        <v>1114</v>
      </c>
      <c r="P945" s="272" t="s">
        <v>1245</v>
      </c>
      <c r="R945" s="271"/>
      <c r="S945" s="155"/>
      <c r="T945" s="154"/>
      <c r="V945" s="281"/>
    </row>
    <row r="946" spans="1:22" x14ac:dyDescent="0.25">
      <c r="A946" s="270" t="s">
        <v>411</v>
      </c>
      <c r="B946" s="31" t="s">
        <v>410</v>
      </c>
      <c r="C946" s="31" t="s">
        <v>418</v>
      </c>
      <c r="D946" s="31" t="s">
        <v>600</v>
      </c>
      <c r="E946" s="31" t="s">
        <v>234</v>
      </c>
      <c r="F946" s="35" t="s">
        <v>464</v>
      </c>
      <c r="G946" s="33" t="s">
        <v>1092</v>
      </c>
      <c r="H946" s="33" t="s">
        <v>603</v>
      </c>
      <c r="I946" s="36" t="s">
        <v>555</v>
      </c>
      <c r="J946" s="36" t="s">
        <v>875</v>
      </c>
      <c r="K946" s="36" t="s">
        <v>1093</v>
      </c>
      <c r="L946" s="37">
        <v>0</v>
      </c>
      <c r="M946" s="271">
        <v>0</v>
      </c>
      <c r="N946" s="34"/>
      <c r="O946" s="34" t="s">
        <v>1094</v>
      </c>
      <c r="P946" s="272" t="s">
        <v>1300</v>
      </c>
      <c r="R946" s="271"/>
      <c r="S946" s="155"/>
      <c r="T946" s="154"/>
      <c r="V946" s="281"/>
    </row>
    <row r="947" spans="1:22" x14ac:dyDescent="0.25">
      <c r="A947" s="270" t="s">
        <v>411</v>
      </c>
      <c r="B947" s="31" t="s">
        <v>410</v>
      </c>
      <c r="C947" s="31" t="s">
        <v>418</v>
      </c>
      <c r="D947" s="31" t="s">
        <v>600</v>
      </c>
      <c r="E947" s="31" t="s">
        <v>234</v>
      </c>
      <c r="F947" s="35" t="s">
        <v>464</v>
      </c>
      <c r="G947" s="33" t="s">
        <v>1107</v>
      </c>
      <c r="H947" s="33" t="s">
        <v>603</v>
      </c>
      <c r="I947" s="36" t="s">
        <v>555</v>
      </c>
      <c r="J947" s="36" t="s">
        <v>875</v>
      </c>
      <c r="K947" s="36" t="s">
        <v>1093</v>
      </c>
      <c r="L947" s="37">
        <v>2000</v>
      </c>
      <c r="M947" s="271">
        <v>2000</v>
      </c>
      <c r="N947" s="34"/>
      <c r="O947" s="34" t="s">
        <v>1108</v>
      </c>
      <c r="P947" s="272" t="s">
        <v>1301</v>
      </c>
      <c r="R947" s="271"/>
      <c r="S947" s="155"/>
      <c r="T947" s="154"/>
      <c r="V947" s="281"/>
    </row>
    <row r="948" spans="1:22" x14ac:dyDescent="0.25">
      <c r="A948" s="270" t="s">
        <v>411</v>
      </c>
      <c r="B948" s="31" t="s">
        <v>410</v>
      </c>
      <c r="C948" s="31" t="s">
        <v>418</v>
      </c>
      <c r="D948" s="31" t="s">
        <v>600</v>
      </c>
      <c r="E948" s="31" t="s">
        <v>234</v>
      </c>
      <c r="F948" s="35" t="s">
        <v>464</v>
      </c>
      <c r="G948" s="33" t="s">
        <v>1092</v>
      </c>
      <c r="H948" s="33" t="s">
        <v>603</v>
      </c>
      <c r="I948" s="36" t="s">
        <v>555</v>
      </c>
      <c r="J948" s="36" t="s">
        <v>875</v>
      </c>
      <c r="K948" s="36" t="s">
        <v>1093</v>
      </c>
      <c r="L948" s="37">
        <v>0</v>
      </c>
      <c r="M948" s="271">
        <v>0</v>
      </c>
      <c r="N948" s="34"/>
      <c r="O948" s="34" t="s">
        <v>1096</v>
      </c>
      <c r="P948" s="272" t="s">
        <v>1302</v>
      </c>
      <c r="R948" s="271"/>
      <c r="S948" s="155"/>
      <c r="T948" s="154"/>
      <c r="V948" s="281"/>
    </row>
    <row r="949" spans="1:22" x14ac:dyDescent="0.25">
      <c r="A949" s="270" t="s">
        <v>411</v>
      </c>
      <c r="B949" s="31" t="s">
        <v>410</v>
      </c>
      <c r="C949" s="31" t="s">
        <v>418</v>
      </c>
      <c r="D949" s="31" t="s">
        <v>600</v>
      </c>
      <c r="E949" s="31" t="s">
        <v>234</v>
      </c>
      <c r="F949" s="35" t="s">
        <v>464</v>
      </c>
      <c r="G949" s="33" t="s">
        <v>1092</v>
      </c>
      <c r="H949" s="33" t="s">
        <v>603</v>
      </c>
      <c r="I949" s="36" t="s">
        <v>555</v>
      </c>
      <c r="J949" s="36" t="s">
        <v>875</v>
      </c>
      <c r="K949" s="36" t="s">
        <v>1093</v>
      </c>
      <c r="L949" s="37">
        <v>20000</v>
      </c>
      <c r="M949" s="271">
        <v>18000</v>
      </c>
      <c r="N949" s="34"/>
      <c r="O949" s="34" t="s">
        <v>1099</v>
      </c>
      <c r="P949" s="272" t="s">
        <v>1303</v>
      </c>
      <c r="R949" s="271"/>
      <c r="S949" s="155"/>
      <c r="T949" s="154"/>
      <c r="V949" s="281"/>
    </row>
    <row r="950" spans="1:22" x14ac:dyDescent="0.25">
      <c r="A950" s="270" t="s">
        <v>411</v>
      </c>
      <c r="B950" s="31" t="s">
        <v>410</v>
      </c>
      <c r="C950" s="31" t="s">
        <v>418</v>
      </c>
      <c r="D950" s="31" t="s">
        <v>600</v>
      </c>
      <c r="E950" s="31" t="s">
        <v>234</v>
      </c>
      <c r="F950" s="35" t="s">
        <v>464</v>
      </c>
      <c r="G950" s="33" t="s">
        <v>1163</v>
      </c>
      <c r="H950" s="33" t="s">
        <v>603</v>
      </c>
      <c r="I950" s="36" t="s">
        <v>555</v>
      </c>
      <c r="J950" s="36" t="s">
        <v>875</v>
      </c>
      <c r="K950" s="36" t="s">
        <v>590</v>
      </c>
      <c r="L950" s="37">
        <v>0</v>
      </c>
      <c r="M950" s="271">
        <v>0</v>
      </c>
      <c r="N950" s="34"/>
      <c r="O950" s="34" t="s">
        <v>1161</v>
      </c>
      <c r="P950" s="272" t="s">
        <v>1304</v>
      </c>
      <c r="R950" s="271"/>
      <c r="S950" s="155"/>
      <c r="T950" s="154"/>
      <c r="V950" s="281"/>
    </row>
    <row r="951" spans="1:22" x14ac:dyDescent="0.25">
      <c r="A951" s="270" t="s">
        <v>411</v>
      </c>
      <c r="B951" s="31" t="s">
        <v>410</v>
      </c>
      <c r="C951" s="31" t="s">
        <v>418</v>
      </c>
      <c r="D951" s="31" t="s">
        <v>600</v>
      </c>
      <c r="E951" s="31" t="s">
        <v>234</v>
      </c>
      <c r="F951" s="35" t="s">
        <v>464</v>
      </c>
      <c r="G951" s="33" t="s">
        <v>1143</v>
      </c>
      <c r="H951" s="33" t="s">
        <v>603</v>
      </c>
      <c r="I951" s="36" t="s">
        <v>555</v>
      </c>
      <c r="J951" s="36" t="s">
        <v>875</v>
      </c>
      <c r="K951" s="36" t="s">
        <v>508</v>
      </c>
      <c r="L951" s="37">
        <v>4000</v>
      </c>
      <c r="M951" s="271">
        <v>6000</v>
      </c>
      <c r="N951" s="34"/>
      <c r="O951" s="34" t="s">
        <v>508</v>
      </c>
      <c r="P951" s="272" t="s">
        <v>1305</v>
      </c>
      <c r="R951" s="271"/>
      <c r="S951" s="155"/>
      <c r="T951" s="154"/>
      <c r="V951" s="281"/>
    </row>
    <row r="952" spans="1:22" x14ac:dyDescent="0.25">
      <c r="A952" s="270" t="s">
        <v>411</v>
      </c>
      <c r="B952" s="31" t="s">
        <v>410</v>
      </c>
      <c r="C952" s="31" t="s">
        <v>418</v>
      </c>
      <c r="D952" s="31" t="s">
        <v>600</v>
      </c>
      <c r="E952" s="31" t="s">
        <v>234</v>
      </c>
      <c r="F952" s="35" t="s">
        <v>464</v>
      </c>
      <c r="G952" s="33" t="s">
        <v>1147</v>
      </c>
      <c r="H952" s="33" t="s">
        <v>603</v>
      </c>
      <c r="I952" s="36" t="s">
        <v>555</v>
      </c>
      <c r="J952" s="36" t="s">
        <v>875</v>
      </c>
      <c r="K952" s="36" t="s">
        <v>517</v>
      </c>
      <c r="L952" s="37">
        <v>100000</v>
      </c>
      <c r="M952" s="271">
        <v>100000</v>
      </c>
      <c r="N952" s="34" t="s">
        <v>973</v>
      </c>
      <c r="O952" s="34" t="s">
        <v>1025</v>
      </c>
      <c r="P952" s="272" t="s">
        <v>1306</v>
      </c>
      <c r="R952" s="271"/>
      <c r="S952" s="155"/>
      <c r="T952" s="154"/>
      <c r="V952" s="281"/>
    </row>
    <row r="953" spans="1:22" x14ac:dyDescent="0.25">
      <c r="A953" s="270" t="s">
        <v>411</v>
      </c>
      <c r="B953" s="31" t="s">
        <v>410</v>
      </c>
      <c r="C953" s="31" t="s">
        <v>418</v>
      </c>
      <c r="D953" s="31" t="s">
        <v>600</v>
      </c>
      <c r="E953" s="31" t="s">
        <v>234</v>
      </c>
      <c r="F953" s="35" t="s">
        <v>464</v>
      </c>
      <c r="G953" s="33" t="s">
        <v>885</v>
      </c>
      <c r="H953" s="33" t="s">
        <v>603</v>
      </c>
      <c r="I953" s="36" t="s">
        <v>555</v>
      </c>
      <c r="J953" s="36" t="s">
        <v>875</v>
      </c>
      <c r="K953" s="36" t="s">
        <v>1195</v>
      </c>
      <c r="L953" s="37">
        <v>55000</v>
      </c>
      <c r="M953" s="271">
        <v>56000</v>
      </c>
      <c r="N953" s="34"/>
      <c r="O953" s="34" t="s">
        <v>1192</v>
      </c>
      <c r="P953" s="272" t="s">
        <v>1252</v>
      </c>
      <c r="R953" s="271"/>
      <c r="S953" s="155"/>
      <c r="T953" s="154"/>
      <c r="V953" s="281"/>
    </row>
    <row r="954" spans="1:22" x14ac:dyDescent="0.25">
      <c r="A954" s="270" t="s">
        <v>411</v>
      </c>
      <c r="B954" s="31" t="s">
        <v>410</v>
      </c>
      <c r="C954" s="31" t="s">
        <v>418</v>
      </c>
      <c r="D954" s="31" t="s">
        <v>600</v>
      </c>
      <c r="E954" s="31" t="s">
        <v>234</v>
      </c>
      <c r="F954" s="35" t="s">
        <v>464</v>
      </c>
      <c r="G954" s="33" t="s">
        <v>885</v>
      </c>
      <c r="H954" s="33" t="s">
        <v>603</v>
      </c>
      <c r="I954" s="36" t="s">
        <v>555</v>
      </c>
      <c r="J954" s="36" t="s">
        <v>875</v>
      </c>
      <c r="K954" s="36" t="s">
        <v>1196</v>
      </c>
      <c r="L954" s="37">
        <v>11000</v>
      </c>
      <c r="M954" s="271">
        <v>14000</v>
      </c>
      <c r="N954" s="34"/>
      <c r="O954" s="34" t="s">
        <v>1181</v>
      </c>
      <c r="P954" s="272" t="s">
        <v>1253</v>
      </c>
      <c r="R954" s="271"/>
      <c r="S954" s="155"/>
      <c r="T954" s="154"/>
      <c r="V954" s="281"/>
    </row>
    <row r="955" spans="1:22" x14ac:dyDescent="0.25">
      <c r="A955" s="270" t="s">
        <v>411</v>
      </c>
      <c r="B955" s="31" t="s">
        <v>410</v>
      </c>
      <c r="C955" s="31" t="s">
        <v>418</v>
      </c>
      <c r="D955" s="31" t="s">
        <v>600</v>
      </c>
      <c r="E955" s="31" t="s">
        <v>234</v>
      </c>
      <c r="F955" s="35" t="s">
        <v>464</v>
      </c>
      <c r="G955" s="33" t="s">
        <v>885</v>
      </c>
      <c r="H955" s="33" t="s">
        <v>603</v>
      </c>
      <c r="I955" s="36" t="s">
        <v>555</v>
      </c>
      <c r="J955" s="36" t="s">
        <v>875</v>
      </c>
      <c r="K955" s="36" t="s">
        <v>1196</v>
      </c>
      <c r="L955" s="37">
        <v>11000</v>
      </c>
      <c r="M955" s="271">
        <v>14000</v>
      </c>
      <c r="N955" s="34"/>
      <c r="O955" s="34" t="s">
        <v>1182</v>
      </c>
      <c r="P955" s="272" t="s">
        <v>1254</v>
      </c>
      <c r="R955" s="271"/>
      <c r="S955" s="155"/>
      <c r="T955" s="154"/>
      <c r="V955" s="281"/>
    </row>
    <row r="956" spans="1:22" x14ac:dyDescent="0.25">
      <c r="A956" s="270" t="s">
        <v>411</v>
      </c>
      <c r="B956" s="31" t="s">
        <v>410</v>
      </c>
      <c r="C956" s="31" t="s">
        <v>418</v>
      </c>
      <c r="D956" s="31" t="s">
        <v>600</v>
      </c>
      <c r="E956" s="31" t="s">
        <v>234</v>
      </c>
      <c r="F956" s="35" t="s">
        <v>464</v>
      </c>
      <c r="G956" s="33" t="s">
        <v>885</v>
      </c>
      <c r="H956" s="33" t="s">
        <v>603</v>
      </c>
      <c r="I956" s="36" t="s">
        <v>555</v>
      </c>
      <c r="J956" s="36" t="s">
        <v>875</v>
      </c>
      <c r="K956" s="36" t="s">
        <v>1196</v>
      </c>
      <c r="L956" s="37">
        <v>22000</v>
      </c>
      <c r="M956" s="271">
        <v>24000</v>
      </c>
      <c r="N956" s="34"/>
      <c r="O956" s="34" t="s">
        <v>1183</v>
      </c>
      <c r="P956" s="272" t="s">
        <v>1255</v>
      </c>
      <c r="R956" s="271"/>
      <c r="S956" s="155"/>
      <c r="T956" s="154"/>
      <c r="V956" s="281"/>
    </row>
    <row r="957" spans="1:22" x14ac:dyDescent="0.25">
      <c r="A957" s="270" t="s">
        <v>411</v>
      </c>
      <c r="B957" s="31" t="s">
        <v>410</v>
      </c>
      <c r="C957" s="31" t="s">
        <v>418</v>
      </c>
      <c r="D957" s="31" t="s">
        <v>600</v>
      </c>
      <c r="E957" s="31" t="s">
        <v>234</v>
      </c>
      <c r="F957" s="35" t="s">
        <v>464</v>
      </c>
      <c r="G957" s="33" t="s">
        <v>885</v>
      </c>
      <c r="H957" s="33" t="s">
        <v>603</v>
      </c>
      <c r="I957" s="36" t="s">
        <v>555</v>
      </c>
      <c r="J957" s="36" t="s">
        <v>875</v>
      </c>
      <c r="K957" s="36" t="s">
        <v>1194</v>
      </c>
      <c r="L957" s="37">
        <v>77000</v>
      </c>
      <c r="M957" s="271">
        <v>80000</v>
      </c>
      <c r="N957" s="34"/>
      <c r="O957" s="34" t="s">
        <v>1185</v>
      </c>
      <c r="P957" s="272" t="s">
        <v>1256</v>
      </c>
      <c r="R957" s="271"/>
      <c r="S957" s="155"/>
      <c r="T957" s="154"/>
      <c r="V957" s="281"/>
    </row>
    <row r="958" spans="1:22" x14ac:dyDescent="0.25">
      <c r="A958" s="270" t="s">
        <v>411</v>
      </c>
      <c r="B958" s="31" t="s">
        <v>410</v>
      </c>
      <c r="C958" s="31" t="s">
        <v>418</v>
      </c>
      <c r="D958" s="31" t="s">
        <v>600</v>
      </c>
      <c r="E958" s="31" t="s">
        <v>234</v>
      </c>
      <c r="F958" s="35" t="s">
        <v>464</v>
      </c>
      <c r="G958" s="33" t="s">
        <v>885</v>
      </c>
      <c r="H958" s="33" t="s">
        <v>603</v>
      </c>
      <c r="I958" s="36" t="s">
        <v>555</v>
      </c>
      <c r="J958" s="36" t="s">
        <v>875</v>
      </c>
      <c r="K958" s="36" t="s">
        <v>1045</v>
      </c>
      <c r="L958" s="37">
        <v>36000</v>
      </c>
      <c r="M958" s="271">
        <v>32000</v>
      </c>
      <c r="N958" s="34"/>
      <c r="O958" s="34" t="s">
        <v>1047</v>
      </c>
      <c r="P958" s="272" t="s">
        <v>1257</v>
      </c>
      <c r="R958" s="271"/>
      <c r="S958" s="155"/>
      <c r="T958" s="154"/>
      <c r="V958" s="281"/>
    </row>
    <row r="959" spans="1:22" x14ac:dyDescent="0.25">
      <c r="A959" s="270" t="s">
        <v>411</v>
      </c>
      <c r="B959" s="31" t="s">
        <v>410</v>
      </c>
      <c r="C959" s="31" t="s">
        <v>418</v>
      </c>
      <c r="D959" s="31" t="s">
        <v>600</v>
      </c>
      <c r="E959" s="31" t="s">
        <v>234</v>
      </c>
      <c r="F959" s="35" t="s">
        <v>464</v>
      </c>
      <c r="G959" s="33" t="s">
        <v>929</v>
      </c>
      <c r="H959" s="33" t="s">
        <v>602</v>
      </c>
      <c r="I959" s="36" t="s">
        <v>555</v>
      </c>
      <c r="J959" s="36" t="s">
        <v>875</v>
      </c>
      <c r="K959" s="36" t="s">
        <v>573</v>
      </c>
      <c r="L959" s="37">
        <v>16000</v>
      </c>
      <c r="M959" s="271">
        <v>16000</v>
      </c>
      <c r="N959" s="34" t="s">
        <v>929</v>
      </c>
      <c r="O959" s="34" t="s">
        <v>573</v>
      </c>
      <c r="P959" s="272" t="s">
        <v>1307</v>
      </c>
      <c r="R959" s="271"/>
      <c r="S959" s="155"/>
      <c r="T959" s="154"/>
      <c r="V959" s="281"/>
    </row>
    <row r="960" spans="1:22" x14ac:dyDescent="0.25">
      <c r="A960" s="270" t="s">
        <v>411</v>
      </c>
      <c r="B960" s="31" t="s">
        <v>410</v>
      </c>
      <c r="C960" s="31" t="s">
        <v>418</v>
      </c>
      <c r="D960" s="31" t="s">
        <v>600</v>
      </c>
      <c r="E960" s="31" t="s">
        <v>234</v>
      </c>
      <c r="F960" s="35" t="s">
        <v>464</v>
      </c>
      <c r="G960" s="33" t="s">
        <v>929</v>
      </c>
      <c r="H960" s="33" t="s">
        <v>602</v>
      </c>
      <c r="I960" s="36" t="s">
        <v>555</v>
      </c>
      <c r="J960" s="36" t="s">
        <v>875</v>
      </c>
      <c r="K960" s="36" t="s">
        <v>950</v>
      </c>
      <c r="L960" s="37">
        <v>104000</v>
      </c>
      <c r="M960" s="271">
        <v>104000</v>
      </c>
      <c r="N960" s="34" t="s">
        <v>929</v>
      </c>
      <c r="O960" s="34" t="s">
        <v>950</v>
      </c>
      <c r="P960" s="272" t="s">
        <v>1308</v>
      </c>
      <c r="R960" s="271"/>
      <c r="S960" s="155"/>
      <c r="T960" s="154"/>
      <c r="V960" s="281"/>
    </row>
    <row r="961" spans="1:22" x14ac:dyDescent="0.25">
      <c r="A961" s="270" t="s">
        <v>411</v>
      </c>
      <c r="B961" s="31" t="s">
        <v>410</v>
      </c>
      <c r="C961" s="31" t="s">
        <v>418</v>
      </c>
      <c r="D961" s="31" t="s">
        <v>600</v>
      </c>
      <c r="E961" s="31" t="s">
        <v>234</v>
      </c>
      <c r="F961" s="35" t="s">
        <v>464</v>
      </c>
      <c r="G961" s="33" t="s">
        <v>513</v>
      </c>
      <c r="H961" s="33" t="s">
        <v>603</v>
      </c>
      <c r="I961" s="36" t="s">
        <v>555</v>
      </c>
      <c r="J961" s="36" t="s">
        <v>875</v>
      </c>
      <c r="K961" s="36" t="s">
        <v>904</v>
      </c>
      <c r="L961" s="37">
        <v>20000</v>
      </c>
      <c r="M961" s="271">
        <v>20000</v>
      </c>
      <c r="N961" s="34"/>
      <c r="O961" s="34" t="s">
        <v>513</v>
      </c>
      <c r="P961" s="272" t="s">
        <v>1309</v>
      </c>
      <c r="R961" s="271"/>
      <c r="S961" s="155"/>
      <c r="T961" s="154"/>
      <c r="V961" s="281"/>
    </row>
    <row r="962" spans="1:22" x14ac:dyDescent="0.25">
      <c r="A962" s="270" t="s">
        <v>411</v>
      </c>
      <c r="B962" s="31" t="s">
        <v>410</v>
      </c>
      <c r="C962" s="31" t="s">
        <v>418</v>
      </c>
      <c r="D962" s="31" t="s">
        <v>600</v>
      </c>
      <c r="E962" s="31" t="s">
        <v>234</v>
      </c>
      <c r="F962" s="35" t="s">
        <v>464</v>
      </c>
      <c r="G962" s="33" t="s">
        <v>968</v>
      </c>
      <c r="H962" s="33" t="s">
        <v>603</v>
      </c>
      <c r="I962" s="36" t="s">
        <v>555</v>
      </c>
      <c r="J962" s="36" t="s">
        <v>875</v>
      </c>
      <c r="K962" s="36" t="s">
        <v>904</v>
      </c>
      <c r="L962" s="37">
        <v>70000</v>
      </c>
      <c r="M962" s="271">
        <v>70000</v>
      </c>
      <c r="N962" s="34"/>
      <c r="O962" s="34"/>
      <c r="P962" s="272" t="s">
        <v>1310</v>
      </c>
      <c r="R962" s="271"/>
      <c r="S962" s="155"/>
      <c r="T962" s="154"/>
      <c r="V962" s="281"/>
    </row>
    <row r="963" spans="1:22" x14ac:dyDescent="0.25">
      <c r="A963" s="270" t="s">
        <v>411</v>
      </c>
      <c r="B963" s="31" t="s">
        <v>410</v>
      </c>
      <c r="C963" s="31" t="s">
        <v>418</v>
      </c>
      <c r="D963" s="31" t="s">
        <v>600</v>
      </c>
      <c r="E963" s="31" t="s">
        <v>234</v>
      </c>
      <c r="F963" s="35" t="s">
        <v>464</v>
      </c>
      <c r="G963" s="33" t="s">
        <v>968</v>
      </c>
      <c r="H963" s="33" t="s">
        <v>603</v>
      </c>
      <c r="I963" s="36" t="s">
        <v>555</v>
      </c>
      <c r="J963" s="36" t="s">
        <v>875</v>
      </c>
      <c r="K963" s="36" t="s">
        <v>904</v>
      </c>
      <c r="L963" s="37">
        <v>46000</v>
      </c>
      <c r="M963" s="271">
        <v>42000</v>
      </c>
      <c r="N963" s="34"/>
      <c r="O963" s="34"/>
      <c r="P963" s="272" t="s">
        <v>1311</v>
      </c>
      <c r="R963" s="271"/>
      <c r="S963" s="155"/>
      <c r="T963" s="154"/>
      <c r="V963" s="281"/>
    </row>
    <row r="964" spans="1:22" x14ac:dyDescent="0.25">
      <c r="A964" s="270" t="s">
        <v>411</v>
      </c>
      <c r="B964" s="31" t="s">
        <v>410</v>
      </c>
      <c r="C964" s="31" t="s">
        <v>418</v>
      </c>
      <c r="D964" s="31" t="s">
        <v>600</v>
      </c>
      <c r="E964" s="31" t="s">
        <v>234</v>
      </c>
      <c r="F964" s="35" t="s">
        <v>464</v>
      </c>
      <c r="G964" s="33" t="s">
        <v>527</v>
      </c>
      <c r="H964" s="33" t="s">
        <v>603</v>
      </c>
      <c r="I964" s="36" t="s">
        <v>555</v>
      </c>
      <c r="J964" s="36" t="s">
        <v>875</v>
      </c>
      <c r="K964" s="36" t="s">
        <v>518</v>
      </c>
      <c r="L964" s="37">
        <v>184000</v>
      </c>
      <c r="M964" s="271">
        <v>184000</v>
      </c>
      <c r="N964" s="34" t="s">
        <v>973</v>
      </c>
      <c r="O964" s="34" t="s">
        <v>974</v>
      </c>
      <c r="P964" s="272" t="s">
        <v>1259</v>
      </c>
      <c r="R964" s="271"/>
      <c r="S964" s="155"/>
      <c r="T964" s="154"/>
      <c r="V964" s="281"/>
    </row>
    <row r="965" spans="1:22" x14ac:dyDescent="0.25">
      <c r="A965" s="270" t="s">
        <v>411</v>
      </c>
      <c r="B965" s="31" t="s">
        <v>410</v>
      </c>
      <c r="C965" s="31" t="s">
        <v>418</v>
      </c>
      <c r="D965" s="31" t="s">
        <v>600</v>
      </c>
      <c r="E965" s="31" t="s">
        <v>235</v>
      </c>
      <c r="F965" s="35" t="s">
        <v>465</v>
      </c>
      <c r="G965" s="33" t="s">
        <v>506</v>
      </c>
      <c r="H965" s="33" t="s">
        <v>603</v>
      </c>
      <c r="I965" s="36" t="s">
        <v>552</v>
      </c>
      <c r="J965" s="36" t="s">
        <v>580</v>
      </c>
      <c r="K965" s="36" t="s">
        <v>1056</v>
      </c>
      <c r="L965" s="37">
        <v>4000</v>
      </c>
      <c r="M965" s="271">
        <v>4000</v>
      </c>
      <c r="N965" s="34"/>
      <c r="O965" s="34" t="s">
        <v>1057</v>
      </c>
      <c r="P965" s="272" t="s">
        <v>1222</v>
      </c>
      <c r="R965" s="271"/>
      <c r="S965" s="155"/>
      <c r="T965" s="154"/>
      <c r="V965" s="281"/>
    </row>
    <row r="966" spans="1:22" x14ac:dyDescent="0.25">
      <c r="A966" s="270" t="s">
        <v>411</v>
      </c>
      <c r="B966" s="31" t="s">
        <v>410</v>
      </c>
      <c r="C966" s="31" t="s">
        <v>418</v>
      </c>
      <c r="D966" s="31" t="s">
        <v>600</v>
      </c>
      <c r="E966" s="31" t="s">
        <v>235</v>
      </c>
      <c r="F966" s="35" t="s">
        <v>465</v>
      </c>
      <c r="G966" s="33" t="s">
        <v>505</v>
      </c>
      <c r="H966" s="33" t="s">
        <v>603</v>
      </c>
      <c r="I966" s="36" t="s">
        <v>552</v>
      </c>
      <c r="J966" s="36" t="s">
        <v>580</v>
      </c>
      <c r="K966" s="36" t="s">
        <v>1056</v>
      </c>
      <c r="L966" s="37">
        <v>0</v>
      </c>
      <c r="M966" s="271">
        <v>0</v>
      </c>
      <c r="N966" s="34"/>
      <c r="O966" s="34" t="s">
        <v>1058</v>
      </c>
      <c r="P966" s="272" t="s">
        <v>1223</v>
      </c>
      <c r="R966" s="271"/>
      <c r="S966" s="155"/>
      <c r="T966" s="154"/>
      <c r="V966" s="281"/>
    </row>
    <row r="967" spans="1:22" x14ac:dyDescent="0.25">
      <c r="A967" s="270" t="s">
        <v>411</v>
      </c>
      <c r="B967" s="31" t="s">
        <v>410</v>
      </c>
      <c r="C967" s="31" t="s">
        <v>418</v>
      </c>
      <c r="D967" s="31" t="s">
        <v>600</v>
      </c>
      <c r="E967" s="31" t="s">
        <v>235</v>
      </c>
      <c r="F967" s="35" t="s">
        <v>465</v>
      </c>
      <c r="G967" s="277" t="s">
        <v>507</v>
      </c>
      <c r="H967" s="33" t="s">
        <v>603</v>
      </c>
      <c r="I967" s="36" t="s">
        <v>552</v>
      </c>
      <c r="J967" s="36" t="s">
        <v>580</v>
      </c>
      <c r="K967" s="36" t="s">
        <v>1056</v>
      </c>
      <c r="L967" s="37">
        <v>0</v>
      </c>
      <c r="M967" s="271">
        <v>0</v>
      </c>
      <c r="N967" s="34"/>
      <c r="O967" s="34" t="s">
        <v>1055</v>
      </c>
      <c r="P967" s="272" t="s">
        <v>1224</v>
      </c>
      <c r="R967" s="271"/>
      <c r="S967" s="155"/>
      <c r="T967" s="154"/>
      <c r="V967" s="281"/>
    </row>
    <row r="968" spans="1:22" x14ac:dyDescent="0.25">
      <c r="A968" s="270" t="s">
        <v>411</v>
      </c>
      <c r="B968" s="31" t="s">
        <v>410</v>
      </c>
      <c r="C968" s="31" t="s">
        <v>418</v>
      </c>
      <c r="D968" s="31" t="s">
        <v>600</v>
      </c>
      <c r="E968" s="31" t="s">
        <v>235</v>
      </c>
      <c r="F968" s="35" t="s">
        <v>465</v>
      </c>
      <c r="G968" s="33" t="s">
        <v>1136</v>
      </c>
      <c r="H968" s="33" t="s">
        <v>603</v>
      </c>
      <c r="I968" s="36" t="s">
        <v>552</v>
      </c>
      <c r="J968" s="36" t="s">
        <v>580</v>
      </c>
      <c r="K968" s="36" t="s">
        <v>503</v>
      </c>
      <c r="L968" s="37">
        <f>(30000+20000)*2</f>
        <v>100000</v>
      </c>
      <c r="M968" s="271">
        <v>90000</v>
      </c>
      <c r="N968" s="34"/>
      <c r="O968" s="34" t="s">
        <v>1126</v>
      </c>
      <c r="P968" s="272" t="s">
        <v>1225</v>
      </c>
      <c r="R968" s="271"/>
      <c r="S968" s="155"/>
      <c r="T968" s="154"/>
      <c r="V968" s="281"/>
    </row>
    <row r="969" spans="1:22" x14ac:dyDescent="0.25">
      <c r="A969" s="270" t="s">
        <v>411</v>
      </c>
      <c r="B969" s="31" t="s">
        <v>410</v>
      </c>
      <c r="C969" s="31" t="s">
        <v>418</v>
      </c>
      <c r="D969" s="31" t="s">
        <v>600</v>
      </c>
      <c r="E969" s="31" t="s">
        <v>235</v>
      </c>
      <c r="F969" s="35" t="s">
        <v>465</v>
      </c>
      <c r="G969" s="33" t="s">
        <v>1130</v>
      </c>
      <c r="H969" s="33" t="s">
        <v>603</v>
      </c>
      <c r="I969" s="36" t="s">
        <v>552</v>
      </c>
      <c r="J969" s="36" t="s">
        <v>580</v>
      </c>
      <c r="K969" s="36" t="s">
        <v>504</v>
      </c>
      <c r="L969" s="37">
        <f>(30000+20000)*2</f>
        <v>100000</v>
      </c>
      <c r="M969" s="271">
        <v>90000</v>
      </c>
      <c r="N969" s="34"/>
      <c r="O969" s="34" t="s">
        <v>1126</v>
      </c>
      <c r="P969" s="272" t="s">
        <v>1225</v>
      </c>
      <c r="R969" s="271"/>
      <c r="S969" s="155"/>
      <c r="T969" s="154"/>
      <c r="V969" s="281"/>
    </row>
    <row r="970" spans="1:22" x14ac:dyDescent="0.25">
      <c r="A970" s="270" t="s">
        <v>411</v>
      </c>
      <c r="B970" s="31" t="s">
        <v>410</v>
      </c>
      <c r="C970" s="31" t="s">
        <v>418</v>
      </c>
      <c r="D970" s="31" t="s">
        <v>600</v>
      </c>
      <c r="E970" s="31" t="s">
        <v>235</v>
      </c>
      <c r="F970" s="35" t="s">
        <v>465</v>
      </c>
      <c r="G970" s="33" t="s">
        <v>1130</v>
      </c>
      <c r="H970" s="33" t="s">
        <v>603</v>
      </c>
      <c r="I970" s="36" t="s">
        <v>552</v>
      </c>
      <c r="J970" s="36" t="s">
        <v>580</v>
      </c>
      <c r="K970" s="36" t="s">
        <v>505</v>
      </c>
      <c r="L970" s="37">
        <f>(30000+20000)*2</f>
        <v>100000</v>
      </c>
      <c r="M970" s="271">
        <v>90000</v>
      </c>
      <c r="N970" s="34"/>
      <c r="O970" s="34" t="s">
        <v>1126</v>
      </c>
      <c r="P970" s="272" t="s">
        <v>1225</v>
      </c>
      <c r="R970" s="271"/>
      <c r="S970" s="155"/>
      <c r="T970" s="154"/>
      <c r="V970" s="281"/>
    </row>
    <row r="971" spans="1:22" x14ac:dyDescent="0.25">
      <c r="A971" s="270" t="s">
        <v>411</v>
      </c>
      <c r="B971" s="31" t="s">
        <v>410</v>
      </c>
      <c r="C971" s="31" t="s">
        <v>418</v>
      </c>
      <c r="D971" s="31" t="s">
        <v>600</v>
      </c>
      <c r="E971" s="31" t="s">
        <v>235</v>
      </c>
      <c r="F971" s="35" t="s">
        <v>465</v>
      </c>
      <c r="G971" s="33" t="s">
        <v>1124</v>
      </c>
      <c r="H971" s="33" t="s">
        <v>603</v>
      </c>
      <c r="I971" s="36" t="s">
        <v>552</v>
      </c>
      <c r="J971" s="36" t="s">
        <v>580</v>
      </c>
      <c r="K971" s="36" t="s">
        <v>505</v>
      </c>
      <c r="L971" s="37">
        <v>40000</v>
      </c>
      <c r="M971" s="271">
        <v>36000</v>
      </c>
      <c r="N971" s="34"/>
      <c r="O971" s="34" t="s">
        <v>1125</v>
      </c>
      <c r="P971" s="272" t="s">
        <v>1312</v>
      </c>
      <c r="R971" s="271"/>
      <c r="S971" s="155"/>
      <c r="T971" s="154"/>
      <c r="V971" s="281"/>
    </row>
    <row r="972" spans="1:22" x14ac:dyDescent="0.25">
      <c r="A972" s="270" t="s">
        <v>411</v>
      </c>
      <c r="B972" s="31" t="s">
        <v>410</v>
      </c>
      <c r="C972" s="31" t="s">
        <v>418</v>
      </c>
      <c r="D972" s="31" t="s">
        <v>600</v>
      </c>
      <c r="E972" s="31" t="s">
        <v>235</v>
      </c>
      <c r="F972" s="35" t="s">
        <v>465</v>
      </c>
      <c r="G972" s="33" t="s">
        <v>1137</v>
      </c>
      <c r="H972" s="33" t="s">
        <v>603</v>
      </c>
      <c r="I972" s="36" t="s">
        <v>552</v>
      </c>
      <c r="J972" s="36" t="s">
        <v>580</v>
      </c>
      <c r="K972" s="36" t="s">
        <v>506</v>
      </c>
      <c r="L972" s="37">
        <f>(30000+20000)*2</f>
        <v>100000</v>
      </c>
      <c r="M972" s="271">
        <v>90000</v>
      </c>
      <c r="N972" s="34"/>
      <c r="O972" s="34" t="s">
        <v>1126</v>
      </c>
      <c r="P972" s="272" t="s">
        <v>1225</v>
      </c>
      <c r="R972" s="271"/>
      <c r="S972" s="155"/>
      <c r="T972" s="154"/>
      <c r="V972" s="281"/>
    </row>
    <row r="973" spans="1:22" x14ac:dyDescent="0.25">
      <c r="A973" s="270" t="s">
        <v>411</v>
      </c>
      <c r="B973" s="31" t="s">
        <v>410</v>
      </c>
      <c r="C973" s="31" t="s">
        <v>418</v>
      </c>
      <c r="D973" s="31" t="s">
        <v>600</v>
      </c>
      <c r="E973" s="31" t="s">
        <v>235</v>
      </c>
      <c r="F973" s="35" t="s">
        <v>465</v>
      </c>
      <c r="G973" s="33" t="s">
        <v>1140</v>
      </c>
      <c r="H973" s="33" t="s">
        <v>603</v>
      </c>
      <c r="I973" s="36" t="s">
        <v>552</v>
      </c>
      <c r="J973" s="36" t="s">
        <v>580</v>
      </c>
      <c r="K973" s="36" t="s">
        <v>507</v>
      </c>
      <c r="L973" s="37">
        <f>(30000+20000)*2</f>
        <v>100000</v>
      </c>
      <c r="M973" s="271">
        <v>90000</v>
      </c>
      <c r="N973" s="34"/>
      <c r="O973" s="34" t="s">
        <v>1126</v>
      </c>
      <c r="P973" s="272" t="s">
        <v>1225</v>
      </c>
      <c r="R973" s="271"/>
      <c r="S973" s="155"/>
      <c r="T973" s="154"/>
      <c r="V973" s="281"/>
    </row>
    <row r="974" spans="1:22" x14ac:dyDescent="0.25">
      <c r="A974" s="270" t="s">
        <v>411</v>
      </c>
      <c r="B974" s="31" t="s">
        <v>410</v>
      </c>
      <c r="C974" s="31" t="s">
        <v>418</v>
      </c>
      <c r="D974" s="31" t="s">
        <v>600</v>
      </c>
      <c r="E974" s="31" t="s">
        <v>235</v>
      </c>
      <c r="F974" s="35" t="s">
        <v>465</v>
      </c>
      <c r="G974" s="33" t="s">
        <v>1154</v>
      </c>
      <c r="H974" s="33" t="s">
        <v>603</v>
      </c>
      <c r="I974" s="36" t="s">
        <v>552</v>
      </c>
      <c r="J974" s="36" t="s">
        <v>580</v>
      </c>
      <c r="K974" s="36" t="s">
        <v>502</v>
      </c>
      <c r="L974" s="37">
        <v>44000</v>
      </c>
      <c r="M974" s="271">
        <v>44000</v>
      </c>
      <c r="N974" s="34"/>
      <c r="O974" s="34" t="s">
        <v>502</v>
      </c>
      <c r="P974" s="272" t="s">
        <v>1313</v>
      </c>
      <c r="R974" s="271"/>
      <c r="S974" s="155"/>
      <c r="T974" s="154"/>
      <c r="V974" s="281"/>
    </row>
    <row r="975" spans="1:22" x14ac:dyDescent="0.25">
      <c r="A975" s="270" t="s">
        <v>411</v>
      </c>
      <c r="B975" s="31" t="s">
        <v>410</v>
      </c>
      <c r="C975" s="31" t="s">
        <v>418</v>
      </c>
      <c r="D975" s="31" t="s">
        <v>600</v>
      </c>
      <c r="E975" s="31" t="s">
        <v>235</v>
      </c>
      <c r="F975" s="35" t="s">
        <v>465</v>
      </c>
      <c r="G975" s="33" t="s">
        <v>1151</v>
      </c>
      <c r="H975" s="33" t="s">
        <v>603</v>
      </c>
      <c r="I975" s="36" t="s">
        <v>553</v>
      </c>
      <c r="J975" s="36" t="s">
        <v>581</v>
      </c>
      <c r="K975" s="36" t="s">
        <v>516</v>
      </c>
      <c r="L975" s="37">
        <v>12000</v>
      </c>
      <c r="M975" s="271">
        <v>12000</v>
      </c>
      <c r="N975" s="34"/>
      <c r="O975" s="34" t="s">
        <v>516</v>
      </c>
      <c r="P975" s="272" t="s">
        <v>1314</v>
      </c>
      <c r="R975" s="271"/>
      <c r="S975" s="155"/>
      <c r="T975" s="154"/>
      <c r="V975" s="281"/>
    </row>
    <row r="976" spans="1:22" x14ac:dyDescent="0.25">
      <c r="A976" s="270" t="s">
        <v>411</v>
      </c>
      <c r="B976" s="31" t="s">
        <v>410</v>
      </c>
      <c r="C976" s="31" t="s">
        <v>418</v>
      </c>
      <c r="D976" s="31" t="s">
        <v>600</v>
      </c>
      <c r="E976" s="31" t="s">
        <v>235</v>
      </c>
      <c r="F976" s="35" t="s">
        <v>465</v>
      </c>
      <c r="G976" s="33" t="s">
        <v>528</v>
      </c>
      <c r="H976" s="33" t="s">
        <v>603</v>
      </c>
      <c r="I976" s="36" t="s">
        <v>553</v>
      </c>
      <c r="J976" s="36" t="s">
        <v>581</v>
      </c>
      <c r="K976" s="36" t="s">
        <v>605</v>
      </c>
      <c r="L976" s="37">
        <v>30000</v>
      </c>
      <c r="M976" s="271">
        <v>30000</v>
      </c>
      <c r="N976" s="34"/>
      <c r="O976" s="34"/>
      <c r="P976" s="272" t="s">
        <v>1315</v>
      </c>
      <c r="R976" s="271"/>
      <c r="S976" s="155"/>
      <c r="T976" s="154"/>
      <c r="V976" s="281"/>
    </row>
    <row r="977" spans="1:22" x14ac:dyDescent="0.25">
      <c r="A977" s="270" t="s">
        <v>411</v>
      </c>
      <c r="B977" s="31" t="s">
        <v>410</v>
      </c>
      <c r="C977" s="31" t="s">
        <v>418</v>
      </c>
      <c r="D977" s="31" t="s">
        <v>600</v>
      </c>
      <c r="E977" s="31" t="s">
        <v>235</v>
      </c>
      <c r="F977" s="35" t="s">
        <v>465</v>
      </c>
      <c r="G977" s="33" t="s">
        <v>501</v>
      </c>
      <c r="H977" s="33" t="s">
        <v>603</v>
      </c>
      <c r="I977" s="36" t="s">
        <v>555</v>
      </c>
      <c r="J977" s="36" t="s">
        <v>577</v>
      </c>
      <c r="K977" s="36" t="s">
        <v>1059</v>
      </c>
      <c r="L977" s="37">
        <v>0</v>
      </c>
      <c r="M977" s="271">
        <v>0</v>
      </c>
      <c r="N977" s="34"/>
      <c r="O977" s="34" t="s">
        <v>1061</v>
      </c>
      <c r="P977" s="272" t="s">
        <v>1235</v>
      </c>
      <c r="R977" s="271"/>
      <c r="S977" s="155"/>
      <c r="T977" s="154"/>
      <c r="V977" s="281"/>
    </row>
    <row r="978" spans="1:22" x14ac:dyDescent="0.25">
      <c r="A978" s="270" t="s">
        <v>411</v>
      </c>
      <c r="B978" s="31" t="s">
        <v>410</v>
      </c>
      <c r="C978" s="31" t="s">
        <v>418</v>
      </c>
      <c r="D978" s="31" t="s">
        <v>600</v>
      </c>
      <c r="E978" s="31" t="s">
        <v>235</v>
      </c>
      <c r="F978" s="35" t="s">
        <v>465</v>
      </c>
      <c r="G978" s="33" t="s">
        <v>1082</v>
      </c>
      <c r="H978" s="33" t="s">
        <v>603</v>
      </c>
      <c r="I978" s="36" t="s">
        <v>555</v>
      </c>
      <c r="J978" s="36" t="s">
        <v>577</v>
      </c>
      <c r="K978" s="36" t="s">
        <v>1059</v>
      </c>
      <c r="L978" s="37">
        <v>4000</v>
      </c>
      <c r="M978" s="271">
        <v>4000</v>
      </c>
      <c r="N978" s="34"/>
      <c r="O978" s="34" t="s">
        <v>1083</v>
      </c>
      <c r="P978" s="272" t="s">
        <v>1316</v>
      </c>
      <c r="R978" s="271"/>
      <c r="S978" s="155"/>
      <c r="T978" s="154"/>
      <c r="V978" s="281"/>
    </row>
    <row r="979" spans="1:22" x14ac:dyDescent="0.25">
      <c r="A979" s="270" t="s">
        <v>411</v>
      </c>
      <c r="B979" s="31" t="s">
        <v>410</v>
      </c>
      <c r="C979" s="31" t="s">
        <v>418</v>
      </c>
      <c r="D979" s="31" t="s">
        <v>600</v>
      </c>
      <c r="E979" s="31" t="s">
        <v>235</v>
      </c>
      <c r="F979" s="35" t="s">
        <v>465</v>
      </c>
      <c r="G979" s="33" t="s">
        <v>1067</v>
      </c>
      <c r="H979" s="33" t="s">
        <v>603</v>
      </c>
      <c r="I979" s="36" t="s">
        <v>555</v>
      </c>
      <c r="J979" s="36" t="s">
        <v>577</v>
      </c>
      <c r="K979" s="36" t="s">
        <v>589</v>
      </c>
      <c r="L979" s="37">
        <v>0</v>
      </c>
      <c r="M979" s="271">
        <v>0</v>
      </c>
      <c r="N979" s="34"/>
      <c r="O979" s="34" t="s">
        <v>1076</v>
      </c>
      <c r="P979" s="272" t="s">
        <v>1317</v>
      </c>
      <c r="R979" s="271"/>
      <c r="S979" s="155"/>
      <c r="T979" s="154"/>
      <c r="V979" s="281"/>
    </row>
    <row r="980" spans="1:22" x14ac:dyDescent="0.25">
      <c r="A980" s="270" t="s">
        <v>411</v>
      </c>
      <c r="B980" s="31" t="s">
        <v>410</v>
      </c>
      <c r="C980" s="31" t="s">
        <v>418</v>
      </c>
      <c r="D980" s="31" t="s">
        <v>600</v>
      </c>
      <c r="E980" s="31" t="s">
        <v>235</v>
      </c>
      <c r="F980" s="35" t="s">
        <v>465</v>
      </c>
      <c r="G980" s="33" t="s">
        <v>1077</v>
      </c>
      <c r="H980" s="33" t="s">
        <v>603</v>
      </c>
      <c r="I980" s="36" t="s">
        <v>555</v>
      </c>
      <c r="J980" s="36" t="s">
        <v>577</v>
      </c>
      <c r="K980" s="36" t="s">
        <v>509</v>
      </c>
      <c r="L980" s="37">
        <v>156000</v>
      </c>
      <c r="M980" s="271">
        <v>140000</v>
      </c>
      <c r="N980" s="34"/>
      <c r="O980" s="34" t="s">
        <v>1078</v>
      </c>
      <c r="P980" s="272" t="s">
        <v>1318</v>
      </c>
      <c r="R980" s="271"/>
      <c r="S980" s="155"/>
      <c r="T980" s="154"/>
      <c r="V980" s="281"/>
    </row>
    <row r="981" spans="1:22" x14ac:dyDescent="0.25">
      <c r="A981" s="270" t="s">
        <v>411</v>
      </c>
      <c r="B981" s="31" t="s">
        <v>410</v>
      </c>
      <c r="C981" s="31" t="s">
        <v>418</v>
      </c>
      <c r="D981" s="31" t="s">
        <v>600</v>
      </c>
      <c r="E981" s="31" t="s">
        <v>235</v>
      </c>
      <c r="F981" s="35" t="s">
        <v>465</v>
      </c>
      <c r="G981" s="33" t="s">
        <v>1068</v>
      </c>
      <c r="H981" s="33" t="s">
        <v>603</v>
      </c>
      <c r="I981" s="36" t="s">
        <v>555</v>
      </c>
      <c r="J981" s="36" t="s">
        <v>577</v>
      </c>
      <c r="K981" s="36" t="s">
        <v>510</v>
      </c>
      <c r="L981" s="37">
        <v>12000</v>
      </c>
      <c r="M981" s="271">
        <v>12000</v>
      </c>
      <c r="N981" s="34"/>
      <c r="O981" s="34" t="s">
        <v>1070</v>
      </c>
      <c r="P981" s="272" t="s">
        <v>1319</v>
      </c>
      <c r="R981" s="271"/>
      <c r="S981" s="155"/>
      <c r="T981" s="154"/>
      <c r="V981" s="281"/>
    </row>
    <row r="982" spans="1:22" x14ac:dyDescent="0.25">
      <c r="A982" s="270" t="s">
        <v>411</v>
      </c>
      <c r="B982" s="31" t="s">
        <v>410</v>
      </c>
      <c r="C982" s="31" t="s">
        <v>418</v>
      </c>
      <c r="D982" s="31" t="s">
        <v>600</v>
      </c>
      <c r="E982" s="31" t="s">
        <v>235</v>
      </c>
      <c r="F982" s="35" t="s">
        <v>465</v>
      </c>
      <c r="G982" s="33" t="s">
        <v>1066</v>
      </c>
      <c r="H982" s="33" t="s">
        <v>603</v>
      </c>
      <c r="I982" s="36" t="s">
        <v>555</v>
      </c>
      <c r="J982" s="36" t="s">
        <v>577</v>
      </c>
      <c r="K982" s="36" t="s">
        <v>996</v>
      </c>
      <c r="L982" s="37">
        <v>316000</v>
      </c>
      <c r="M982" s="271">
        <v>300000</v>
      </c>
      <c r="N982" s="34"/>
      <c r="O982" s="34" t="s">
        <v>1063</v>
      </c>
      <c r="P982" s="272" t="s">
        <v>1242</v>
      </c>
      <c r="R982" s="271"/>
      <c r="S982" s="155"/>
      <c r="T982" s="154"/>
      <c r="V982" s="281"/>
    </row>
    <row r="983" spans="1:22" x14ac:dyDescent="0.25">
      <c r="A983" s="270" t="s">
        <v>411</v>
      </c>
      <c r="B983" s="31" t="s">
        <v>410</v>
      </c>
      <c r="C983" s="31" t="s">
        <v>418</v>
      </c>
      <c r="D983" s="31" t="s">
        <v>600</v>
      </c>
      <c r="E983" s="31" t="s">
        <v>235</v>
      </c>
      <c r="F983" s="35" t="s">
        <v>465</v>
      </c>
      <c r="G983" s="33" t="s">
        <v>554</v>
      </c>
      <c r="H983" s="33" t="s">
        <v>603</v>
      </c>
      <c r="I983" s="36" t="s">
        <v>555</v>
      </c>
      <c r="J983" s="36" t="s">
        <v>577</v>
      </c>
      <c r="K983" s="36" t="s">
        <v>554</v>
      </c>
      <c r="L983" s="37">
        <v>90000</v>
      </c>
      <c r="M983" s="271">
        <v>90000</v>
      </c>
      <c r="N983" s="34"/>
      <c r="O983" s="34" t="s">
        <v>554</v>
      </c>
      <c r="P983" s="272" t="s">
        <v>1243</v>
      </c>
      <c r="R983" s="271"/>
      <c r="S983" s="155"/>
      <c r="T983" s="154"/>
      <c r="V983" s="281"/>
    </row>
    <row r="984" spans="1:22" x14ac:dyDescent="0.25">
      <c r="A984" s="270" t="s">
        <v>411</v>
      </c>
      <c r="B984" s="31" t="s">
        <v>410</v>
      </c>
      <c r="C984" s="31" t="s">
        <v>418</v>
      </c>
      <c r="D984" s="31" t="s">
        <v>600</v>
      </c>
      <c r="E984" s="31" t="s">
        <v>235</v>
      </c>
      <c r="F984" s="35" t="s">
        <v>465</v>
      </c>
      <c r="G984" s="33" t="s">
        <v>1117</v>
      </c>
      <c r="H984" s="33" t="s">
        <v>603</v>
      </c>
      <c r="I984" s="36" t="s">
        <v>555</v>
      </c>
      <c r="J984" s="36" t="s">
        <v>578</v>
      </c>
      <c r="K984" s="36" t="s">
        <v>1118</v>
      </c>
      <c r="L984" s="37">
        <v>136000</v>
      </c>
      <c r="M984" s="271">
        <v>128000</v>
      </c>
      <c r="N984" s="34"/>
      <c r="O984" s="34" t="s">
        <v>1119</v>
      </c>
      <c r="P984" s="272" t="s">
        <v>1244</v>
      </c>
      <c r="R984" s="271"/>
      <c r="S984" s="155"/>
      <c r="T984" s="154"/>
      <c r="V984" s="281"/>
    </row>
    <row r="985" spans="1:22" x14ac:dyDescent="0.25">
      <c r="A985" s="270" t="s">
        <v>411</v>
      </c>
      <c r="B985" s="31" t="s">
        <v>410</v>
      </c>
      <c r="C985" s="31" t="s">
        <v>418</v>
      </c>
      <c r="D985" s="31" t="s">
        <v>600</v>
      </c>
      <c r="E985" s="31" t="s">
        <v>235</v>
      </c>
      <c r="F985" s="35" t="s">
        <v>465</v>
      </c>
      <c r="G985" s="33" t="s">
        <v>929</v>
      </c>
      <c r="H985" s="33" t="s">
        <v>602</v>
      </c>
      <c r="I985" s="36" t="s">
        <v>555</v>
      </c>
      <c r="J985" s="36" t="s">
        <v>578</v>
      </c>
      <c r="K985" s="36" t="s">
        <v>571</v>
      </c>
      <c r="L985" s="37">
        <v>76000</v>
      </c>
      <c r="M985" s="271">
        <v>76000</v>
      </c>
      <c r="N985" s="34" t="s">
        <v>929</v>
      </c>
      <c r="O985" s="34" t="s">
        <v>930</v>
      </c>
      <c r="P985" s="272" t="s">
        <v>1296</v>
      </c>
      <c r="R985" s="271"/>
      <c r="S985" s="155"/>
      <c r="T985" s="154"/>
      <c r="V985" s="281"/>
    </row>
    <row r="986" spans="1:22" x14ac:dyDescent="0.25">
      <c r="A986" s="270" t="s">
        <v>411</v>
      </c>
      <c r="B986" s="31" t="s">
        <v>410</v>
      </c>
      <c r="C986" s="31" t="s">
        <v>418</v>
      </c>
      <c r="D986" s="31" t="s">
        <v>600</v>
      </c>
      <c r="E986" s="31" t="s">
        <v>235</v>
      </c>
      <c r="F986" s="35" t="s">
        <v>465</v>
      </c>
      <c r="G986" s="33" t="s">
        <v>1112</v>
      </c>
      <c r="H986" s="33" t="s">
        <v>603</v>
      </c>
      <c r="I986" s="36" t="s">
        <v>555</v>
      </c>
      <c r="J986" s="36" t="s">
        <v>578</v>
      </c>
      <c r="K986" s="36" t="s">
        <v>1113</v>
      </c>
      <c r="L986" s="37">
        <v>0</v>
      </c>
      <c r="M986" s="271">
        <v>0</v>
      </c>
      <c r="N986" s="34"/>
      <c r="O986" s="34" t="s">
        <v>1114</v>
      </c>
      <c r="P986" s="272" t="s">
        <v>1320</v>
      </c>
      <c r="R986" s="271"/>
      <c r="S986" s="155"/>
      <c r="T986" s="154"/>
      <c r="V986" s="281"/>
    </row>
    <row r="987" spans="1:22" x14ac:dyDescent="0.25">
      <c r="A987" s="270" t="s">
        <v>411</v>
      </c>
      <c r="B987" s="31" t="s">
        <v>410</v>
      </c>
      <c r="C987" s="31" t="s">
        <v>418</v>
      </c>
      <c r="D987" s="31" t="s">
        <v>600</v>
      </c>
      <c r="E987" s="31" t="s">
        <v>235</v>
      </c>
      <c r="F987" s="35" t="s">
        <v>465</v>
      </c>
      <c r="G987" s="33" t="s">
        <v>1092</v>
      </c>
      <c r="H987" s="33" t="s">
        <v>603</v>
      </c>
      <c r="I987" s="36" t="s">
        <v>555</v>
      </c>
      <c r="J987" s="36" t="s">
        <v>875</v>
      </c>
      <c r="K987" s="36" t="s">
        <v>1093</v>
      </c>
      <c r="L987" s="37">
        <v>8000</v>
      </c>
      <c r="M987" s="271">
        <v>8000</v>
      </c>
      <c r="N987" s="34"/>
      <c r="O987" s="34" t="s">
        <v>1094</v>
      </c>
      <c r="P987" s="272" t="s">
        <v>1321</v>
      </c>
      <c r="R987" s="271"/>
      <c r="S987" s="155"/>
      <c r="T987" s="154"/>
      <c r="V987" s="281"/>
    </row>
    <row r="988" spans="1:22" x14ac:dyDescent="0.25">
      <c r="A988" s="270" t="s">
        <v>411</v>
      </c>
      <c r="B988" s="31" t="s">
        <v>410</v>
      </c>
      <c r="C988" s="31" t="s">
        <v>418</v>
      </c>
      <c r="D988" s="31" t="s">
        <v>600</v>
      </c>
      <c r="E988" s="31" t="s">
        <v>235</v>
      </c>
      <c r="F988" s="35" t="s">
        <v>465</v>
      </c>
      <c r="G988" s="33" t="s">
        <v>1107</v>
      </c>
      <c r="H988" s="33" t="s">
        <v>603</v>
      </c>
      <c r="I988" s="36" t="s">
        <v>555</v>
      </c>
      <c r="J988" s="36" t="s">
        <v>875</v>
      </c>
      <c r="K988" s="36" t="s">
        <v>1093</v>
      </c>
      <c r="L988" s="37">
        <v>0</v>
      </c>
      <c r="M988" s="271">
        <v>0</v>
      </c>
      <c r="N988" s="34"/>
      <c r="O988" s="34" t="s">
        <v>1108</v>
      </c>
      <c r="P988" s="272" t="s">
        <v>1322</v>
      </c>
      <c r="R988" s="271"/>
      <c r="S988" s="155"/>
      <c r="T988" s="154"/>
      <c r="V988" s="281"/>
    </row>
    <row r="989" spans="1:22" x14ac:dyDescent="0.25">
      <c r="A989" s="270" t="s">
        <v>411</v>
      </c>
      <c r="B989" s="31" t="s">
        <v>410</v>
      </c>
      <c r="C989" s="31" t="s">
        <v>418</v>
      </c>
      <c r="D989" s="31" t="s">
        <v>600</v>
      </c>
      <c r="E989" s="31" t="s">
        <v>235</v>
      </c>
      <c r="F989" s="35" t="s">
        <v>465</v>
      </c>
      <c r="G989" s="33" t="s">
        <v>1092</v>
      </c>
      <c r="H989" s="33" t="s">
        <v>603</v>
      </c>
      <c r="I989" s="36" t="s">
        <v>555</v>
      </c>
      <c r="J989" s="36" t="s">
        <v>875</v>
      </c>
      <c r="K989" s="36" t="s">
        <v>1093</v>
      </c>
      <c r="L989" s="37">
        <v>4000</v>
      </c>
      <c r="M989" s="271">
        <v>4000</v>
      </c>
      <c r="N989" s="34"/>
      <c r="O989" s="34" t="s">
        <v>1096</v>
      </c>
      <c r="P989" s="272" t="s">
        <v>1323</v>
      </c>
      <c r="R989" s="271"/>
      <c r="S989" s="155"/>
      <c r="T989" s="154"/>
      <c r="V989" s="281"/>
    </row>
    <row r="990" spans="1:22" x14ac:dyDescent="0.25">
      <c r="A990" s="270" t="s">
        <v>411</v>
      </c>
      <c r="B990" s="31" t="s">
        <v>410</v>
      </c>
      <c r="C990" s="31" t="s">
        <v>418</v>
      </c>
      <c r="D990" s="31" t="s">
        <v>600</v>
      </c>
      <c r="E990" s="31" t="s">
        <v>235</v>
      </c>
      <c r="F990" s="35" t="s">
        <v>465</v>
      </c>
      <c r="G990" s="33" t="s">
        <v>1092</v>
      </c>
      <c r="H990" s="33" t="s">
        <v>603</v>
      </c>
      <c r="I990" s="36" t="s">
        <v>555</v>
      </c>
      <c r="J990" s="36" t="s">
        <v>875</v>
      </c>
      <c r="K990" s="36" t="s">
        <v>1093</v>
      </c>
      <c r="L990" s="37">
        <v>10000</v>
      </c>
      <c r="M990" s="271">
        <v>8000</v>
      </c>
      <c r="N990" s="34"/>
      <c r="O990" s="34" t="s">
        <v>1099</v>
      </c>
      <c r="P990" s="272" t="s">
        <v>1324</v>
      </c>
      <c r="R990" s="271"/>
      <c r="S990" s="155"/>
      <c r="T990" s="154"/>
      <c r="V990" s="281"/>
    </row>
    <row r="991" spans="1:22" x14ac:dyDescent="0.25">
      <c r="A991" s="270" t="s">
        <v>411</v>
      </c>
      <c r="B991" s="31" t="s">
        <v>410</v>
      </c>
      <c r="C991" s="31" t="s">
        <v>418</v>
      </c>
      <c r="D991" s="31" t="s">
        <v>600</v>
      </c>
      <c r="E991" s="31" t="s">
        <v>235</v>
      </c>
      <c r="F991" s="35" t="s">
        <v>465</v>
      </c>
      <c r="G991" s="33" t="s">
        <v>1147</v>
      </c>
      <c r="H991" s="33" t="s">
        <v>603</v>
      </c>
      <c r="I991" s="36" t="s">
        <v>555</v>
      </c>
      <c r="J991" s="36" t="s">
        <v>875</v>
      </c>
      <c r="K991" s="36" t="s">
        <v>517</v>
      </c>
      <c r="L991" s="37">
        <v>20000</v>
      </c>
      <c r="M991" s="271">
        <v>20000</v>
      </c>
      <c r="N991" s="34" t="s">
        <v>973</v>
      </c>
      <c r="O991" s="34" t="s">
        <v>1025</v>
      </c>
      <c r="P991" s="272" t="s">
        <v>1325</v>
      </c>
      <c r="R991" s="271"/>
      <c r="S991" s="155"/>
      <c r="T991" s="154"/>
      <c r="V991" s="281"/>
    </row>
    <row r="992" spans="1:22" x14ac:dyDescent="0.25">
      <c r="A992" s="270" t="s">
        <v>411</v>
      </c>
      <c r="B992" s="31" t="s">
        <v>410</v>
      </c>
      <c r="C992" s="31" t="s">
        <v>418</v>
      </c>
      <c r="D992" s="31" t="s">
        <v>600</v>
      </c>
      <c r="E992" s="31" t="s">
        <v>235</v>
      </c>
      <c r="F992" s="35" t="s">
        <v>465</v>
      </c>
      <c r="G992" s="33" t="s">
        <v>929</v>
      </c>
      <c r="H992" s="33" t="s">
        <v>602</v>
      </c>
      <c r="I992" s="36" t="s">
        <v>555</v>
      </c>
      <c r="J992" s="36" t="s">
        <v>875</v>
      </c>
      <c r="K992" s="36" t="s">
        <v>1194</v>
      </c>
      <c r="L992" s="37">
        <v>60000</v>
      </c>
      <c r="M992" s="271">
        <v>60000</v>
      </c>
      <c r="N992" s="34" t="s">
        <v>929</v>
      </c>
      <c r="O992" s="34" t="s">
        <v>1009</v>
      </c>
      <c r="P992" s="272" t="s">
        <v>1326</v>
      </c>
      <c r="R992" s="271"/>
      <c r="S992" s="155"/>
      <c r="T992" s="154"/>
      <c r="V992" s="281"/>
    </row>
    <row r="993" spans="1:22" x14ac:dyDescent="0.25">
      <c r="A993" s="270" t="s">
        <v>411</v>
      </c>
      <c r="B993" s="31" t="s">
        <v>410</v>
      </c>
      <c r="C993" s="31" t="s">
        <v>418</v>
      </c>
      <c r="D993" s="31" t="s">
        <v>600</v>
      </c>
      <c r="E993" s="31" t="s">
        <v>235</v>
      </c>
      <c r="F993" s="35" t="s">
        <v>465</v>
      </c>
      <c r="G993" s="33" t="s">
        <v>885</v>
      </c>
      <c r="H993" s="33" t="s">
        <v>603</v>
      </c>
      <c r="I993" s="36" t="s">
        <v>555</v>
      </c>
      <c r="J993" s="36" t="s">
        <v>875</v>
      </c>
      <c r="K993" s="36" t="s">
        <v>1195</v>
      </c>
      <c r="L993" s="37">
        <v>110000</v>
      </c>
      <c r="M993" s="271">
        <v>110000</v>
      </c>
      <c r="N993" s="34"/>
      <c r="O993" s="34" t="s">
        <v>1192</v>
      </c>
      <c r="P993" s="272" t="s">
        <v>1252</v>
      </c>
      <c r="R993" s="271"/>
      <c r="S993" s="155"/>
      <c r="T993" s="154"/>
      <c r="V993" s="281"/>
    </row>
    <row r="994" spans="1:22" x14ac:dyDescent="0.25">
      <c r="A994" s="270" t="s">
        <v>411</v>
      </c>
      <c r="B994" s="31" t="s">
        <v>410</v>
      </c>
      <c r="C994" s="31" t="s">
        <v>418</v>
      </c>
      <c r="D994" s="31" t="s">
        <v>600</v>
      </c>
      <c r="E994" s="31" t="s">
        <v>235</v>
      </c>
      <c r="F994" s="35" t="s">
        <v>465</v>
      </c>
      <c r="G994" s="33" t="s">
        <v>885</v>
      </c>
      <c r="H994" s="33" t="s">
        <v>603</v>
      </c>
      <c r="I994" s="36" t="s">
        <v>555</v>
      </c>
      <c r="J994" s="36" t="s">
        <v>875</v>
      </c>
      <c r="K994" s="36" t="s">
        <v>1196</v>
      </c>
      <c r="L994" s="37">
        <v>22000</v>
      </c>
      <c r="M994" s="271">
        <v>26000</v>
      </c>
      <c r="N994" s="34"/>
      <c r="O994" s="34" t="s">
        <v>1181</v>
      </c>
      <c r="P994" s="272" t="s">
        <v>1253</v>
      </c>
      <c r="R994" s="271"/>
      <c r="S994" s="155"/>
      <c r="T994" s="154"/>
      <c r="V994" s="281"/>
    </row>
    <row r="995" spans="1:22" x14ac:dyDescent="0.25">
      <c r="A995" s="270" t="s">
        <v>411</v>
      </c>
      <c r="B995" s="31" t="s">
        <v>410</v>
      </c>
      <c r="C995" s="31" t="s">
        <v>418</v>
      </c>
      <c r="D995" s="31" t="s">
        <v>600</v>
      </c>
      <c r="E995" s="31" t="s">
        <v>235</v>
      </c>
      <c r="F995" s="35" t="s">
        <v>465</v>
      </c>
      <c r="G995" s="33" t="s">
        <v>885</v>
      </c>
      <c r="H995" s="33" t="s">
        <v>603</v>
      </c>
      <c r="I995" s="36" t="s">
        <v>555</v>
      </c>
      <c r="J995" s="36" t="s">
        <v>875</v>
      </c>
      <c r="K995" s="36" t="s">
        <v>1196</v>
      </c>
      <c r="L995" s="282">
        <v>22000</v>
      </c>
      <c r="M995" s="271">
        <v>26000</v>
      </c>
      <c r="N995" s="34"/>
      <c r="O995" s="34" t="s">
        <v>1182</v>
      </c>
      <c r="P995" s="272" t="s">
        <v>1254</v>
      </c>
      <c r="R995" s="271"/>
      <c r="S995" s="155"/>
      <c r="T995" s="154"/>
      <c r="V995" s="281"/>
    </row>
    <row r="996" spans="1:22" x14ac:dyDescent="0.25">
      <c r="A996" s="270" t="s">
        <v>411</v>
      </c>
      <c r="B996" s="31" t="s">
        <v>410</v>
      </c>
      <c r="C996" s="31" t="s">
        <v>418</v>
      </c>
      <c r="D996" s="31" t="s">
        <v>600</v>
      </c>
      <c r="E996" s="31" t="s">
        <v>235</v>
      </c>
      <c r="F996" s="35" t="s">
        <v>465</v>
      </c>
      <c r="G996" s="33" t="s">
        <v>885</v>
      </c>
      <c r="H996" s="33" t="s">
        <v>603</v>
      </c>
      <c r="I996" s="36" t="s">
        <v>555</v>
      </c>
      <c r="J996" s="36" t="s">
        <v>875</v>
      </c>
      <c r="K996" s="36" t="s">
        <v>1196</v>
      </c>
      <c r="L996" s="37">
        <v>44000</v>
      </c>
      <c r="M996" s="271">
        <v>46000</v>
      </c>
      <c r="N996" s="34"/>
      <c r="O996" s="34" t="s">
        <v>1183</v>
      </c>
      <c r="P996" s="272" t="s">
        <v>1255</v>
      </c>
      <c r="R996" s="271"/>
      <c r="S996" s="155"/>
      <c r="T996" s="154"/>
      <c r="V996" s="281"/>
    </row>
    <row r="997" spans="1:22" x14ac:dyDescent="0.25">
      <c r="A997" s="270" t="s">
        <v>411</v>
      </c>
      <c r="B997" s="31" t="s">
        <v>410</v>
      </c>
      <c r="C997" s="31" t="s">
        <v>418</v>
      </c>
      <c r="D997" s="31" t="s">
        <v>600</v>
      </c>
      <c r="E997" s="31" t="s">
        <v>235</v>
      </c>
      <c r="F997" s="35" t="s">
        <v>465</v>
      </c>
      <c r="G997" s="33" t="s">
        <v>885</v>
      </c>
      <c r="H997" s="33" t="s">
        <v>603</v>
      </c>
      <c r="I997" s="36" t="s">
        <v>555</v>
      </c>
      <c r="J997" s="36" t="s">
        <v>875</v>
      </c>
      <c r="K997" s="36" t="s">
        <v>1194</v>
      </c>
      <c r="L997" s="37">
        <v>154000</v>
      </c>
      <c r="M997" s="271">
        <v>154000</v>
      </c>
      <c r="N997" s="34"/>
      <c r="O997" s="34" t="s">
        <v>1185</v>
      </c>
      <c r="P997" s="272" t="s">
        <v>1256</v>
      </c>
      <c r="R997" s="271"/>
      <c r="S997" s="155"/>
      <c r="T997" s="154"/>
      <c r="V997" s="281"/>
    </row>
    <row r="998" spans="1:22" x14ac:dyDescent="0.25">
      <c r="A998" s="270" t="s">
        <v>411</v>
      </c>
      <c r="B998" s="31" t="s">
        <v>410</v>
      </c>
      <c r="C998" s="31" t="s">
        <v>418</v>
      </c>
      <c r="D998" s="31" t="s">
        <v>600</v>
      </c>
      <c r="E998" s="31" t="s">
        <v>235</v>
      </c>
      <c r="F998" s="35" t="s">
        <v>465</v>
      </c>
      <c r="G998" s="33" t="s">
        <v>885</v>
      </c>
      <c r="H998" s="33" t="s">
        <v>603</v>
      </c>
      <c r="I998" s="36" t="s">
        <v>555</v>
      </c>
      <c r="J998" s="36" t="s">
        <v>875</v>
      </c>
      <c r="K998" s="36" t="s">
        <v>1044</v>
      </c>
      <c r="L998" s="37">
        <v>40000</v>
      </c>
      <c r="M998" s="271">
        <v>40000</v>
      </c>
      <c r="N998" s="34"/>
      <c r="O998" s="34" t="s">
        <v>1049</v>
      </c>
      <c r="P998" s="272" t="s">
        <v>1327</v>
      </c>
      <c r="R998" s="271"/>
      <c r="S998" s="155"/>
      <c r="T998" s="154"/>
      <c r="V998" s="281"/>
    </row>
    <row r="999" spans="1:22" x14ac:dyDescent="0.25">
      <c r="A999" s="270" t="s">
        <v>411</v>
      </c>
      <c r="B999" s="31" t="s">
        <v>410</v>
      </c>
      <c r="C999" s="31" t="s">
        <v>418</v>
      </c>
      <c r="D999" s="31" t="s">
        <v>600</v>
      </c>
      <c r="E999" s="31" t="s">
        <v>235</v>
      </c>
      <c r="F999" s="35" t="s">
        <v>465</v>
      </c>
      <c r="G999" s="33" t="s">
        <v>929</v>
      </c>
      <c r="H999" s="33" t="s">
        <v>602</v>
      </c>
      <c r="I999" s="36" t="s">
        <v>555</v>
      </c>
      <c r="J999" s="36" t="s">
        <v>875</v>
      </c>
      <c r="K999" s="36" t="s">
        <v>573</v>
      </c>
      <c r="L999" s="37">
        <v>12000</v>
      </c>
      <c r="M999" s="271">
        <v>12000</v>
      </c>
      <c r="N999" s="34" t="s">
        <v>929</v>
      </c>
      <c r="O999" s="34" t="s">
        <v>573</v>
      </c>
      <c r="P999" s="272" t="s">
        <v>1307</v>
      </c>
      <c r="R999" s="271"/>
      <c r="S999" s="155"/>
      <c r="T999" s="154"/>
      <c r="V999" s="281"/>
    </row>
    <row r="1000" spans="1:22" x14ac:dyDescent="0.25">
      <c r="A1000" s="270" t="s">
        <v>411</v>
      </c>
      <c r="B1000" s="31" t="s">
        <v>410</v>
      </c>
      <c r="C1000" s="31" t="s">
        <v>418</v>
      </c>
      <c r="D1000" s="31" t="s">
        <v>600</v>
      </c>
      <c r="E1000" s="31" t="s">
        <v>235</v>
      </c>
      <c r="F1000" s="35" t="s">
        <v>465</v>
      </c>
      <c r="G1000" s="33" t="s">
        <v>929</v>
      </c>
      <c r="H1000" s="33" t="s">
        <v>602</v>
      </c>
      <c r="I1000" s="36" t="s">
        <v>555</v>
      </c>
      <c r="J1000" s="36" t="s">
        <v>875</v>
      </c>
      <c r="K1000" s="36" t="s">
        <v>950</v>
      </c>
      <c r="L1000" s="37">
        <v>46000</v>
      </c>
      <c r="M1000" s="271">
        <v>46000</v>
      </c>
      <c r="N1000" s="34" t="s">
        <v>929</v>
      </c>
      <c r="O1000" s="34" t="s">
        <v>950</v>
      </c>
      <c r="P1000" s="272" t="s">
        <v>1308</v>
      </c>
      <c r="R1000" s="271"/>
      <c r="S1000" s="155"/>
      <c r="T1000" s="154"/>
      <c r="V1000" s="281"/>
    </row>
    <row r="1001" spans="1:22" x14ac:dyDescent="0.25">
      <c r="A1001" s="270" t="s">
        <v>411</v>
      </c>
      <c r="B1001" s="31" t="s">
        <v>410</v>
      </c>
      <c r="C1001" s="31" t="s">
        <v>418</v>
      </c>
      <c r="D1001" s="31" t="s">
        <v>600</v>
      </c>
      <c r="E1001" s="31" t="s">
        <v>235</v>
      </c>
      <c r="F1001" s="35" t="s">
        <v>465</v>
      </c>
      <c r="G1001" s="33" t="s">
        <v>513</v>
      </c>
      <c r="H1001" s="33" t="s">
        <v>603</v>
      </c>
      <c r="I1001" s="36" t="s">
        <v>555</v>
      </c>
      <c r="J1001" s="36" t="s">
        <v>875</v>
      </c>
      <c r="K1001" s="36" t="s">
        <v>904</v>
      </c>
      <c r="L1001" s="37">
        <v>140000</v>
      </c>
      <c r="M1001" s="271">
        <v>138000</v>
      </c>
      <c r="N1001" s="34"/>
      <c r="O1001" s="34" t="s">
        <v>1052</v>
      </c>
      <c r="P1001" s="272" t="s">
        <v>1258</v>
      </c>
      <c r="R1001" s="271"/>
      <c r="S1001" s="155"/>
      <c r="T1001" s="154"/>
      <c r="V1001" s="281"/>
    </row>
    <row r="1002" spans="1:22" x14ac:dyDescent="0.25">
      <c r="A1002" s="270" t="s">
        <v>411</v>
      </c>
      <c r="B1002" s="31" t="s">
        <v>410</v>
      </c>
      <c r="C1002" s="31" t="s">
        <v>418</v>
      </c>
      <c r="D1002" s="31" t="s">
        <v>600</v>
      </c>
      <c r="E1002" s="31" t="s">
        <v>235</v>
      </c>
      <c r="F1002" s="35" t="s">
        <v>465</v>
      </c>
      <c r="G1002" s="33" t="s">
        <v>527</v>
      </c>
      <c r="H1002" s="33" t="s">
        <v>603</v>
      </c>
      <c r="I1002" s="36" t="s">
        <v>555</v>
      </c>
      <c r="J1002" s="36" t="s">
        <v>875</v>
      </c>
      <c r="K1002" s="36" t="s">
        <v>518</v>
      </c>
      <c r="L1002" s="37">
        <v>1080000</v>
      </c>
      <c r="M1002" s="271">
        <v>1080000</v>
      </c>
      <c r="N1002" s="34" t="s">
        <v>973</v>
      </c>
      <c r="O1002" s="34" t="s">
        <v>974</v>
      </c>
      <c r="P1002" s="272" t="s">
        <v>1259</v>
      </c>
      <c r="R1002" s="271"/>
      <c r="S1002" s="155"/>
      <c r="T1002" s="154"/>
      <c r="V1002" s="280"/>
    </row>
    <row r="1003" spans="1:22" x14ac:dyDescent="0.25">
      <c r="A1003" s="270" t="s">
        <v>411</v>
      </c>
      <c r="B1003" s="31" t="s">
        <v>410</v>
      </c>
      <c r="C1003" s="31" t="s">
        <v>418</v>
      </c>
      <c r="D1003" s="31" t="s">
        <v>600</v>
      </c>
      <c r="E1003" s="31" t="s">
        <v>236</v>
      </c>
      <c r="F1003" s="35" t="s">
        <v>237</v>
      </c>
      <c r="G1003" s="33" t="s">
        <v>535</v>
      </c>
      <c r="H1003" s="33" t="s">
        <v>603</v>
      </c>
      <c r="I1003" s="36" t="s">
        <v>553</v>
      </c>
      <c r="J1003" s="36" t="s">
        <v>889</v>
      </c>
      <c r="K1003" s="36" t="s">
        <v>584</v>
      </c>
      <c r="L1003" s="37">
        <v>1080000</v>
      </c>
      <c r="M1003" s="271">
        <v>1080000</v>
      </c>
      <c r="N1003" s="34"/>
      <c r="O1003" s="34"/>
      <c r="P1003" s="272" t="s">
        <v>1091</v>
      </c>
      <c r="R1003" s="281"/>
      <c r="S1003" s="283"/>
      <c r="T1003" s="154"/>
    </row>
    <row r="1004" spans="1:22" x14ac:dyDescent="0.25">
      <c r="A1004" s="270" t="s">
        <v>411</v>
      </c>
      <c r="B1004" s="31" t="s">
        <v>410</v>
      </c>
      <c r="C1004" s="31" t="s">
        <v>418</v>
      </c>
      <c r="D1004" s="31" t="s">
        <v>600</v>
      </c>
      <c r="E1004" s="31" t="s">
        <v>331</v>
      </c>
      <c r="F1004" s="35" t="s">
        <v>332</v>
      </c>
      <c r="G1004" s="33" t="s">
        <v>515</v>
      </c>
      <c r="H1004" s="33" t="s">
        <v>603</v>
      </c>
      <c r="I1004" s="36" t="s">
        <v>553</v>
      </c>
      <c r="J1004" s="36" t="s">
        <v>581</v>
      </c>
      <c r="K1004" s="36" t="s">
        <v>605</v>
      </c>
      <c r="L1004" s="37">
        <v>5000000</v>
      </c>
      <c r="M1004" s="271">
        <v>5000000</v>
      </c>
      <c r="N1004" s="34"/>
      <c r="O1004" s="34"/>
      <c r="P1004" s="272" t="s">
        <v>866</v>
      </c>
      <c r="R1004" s="281"/>
      <c r="S1004" s="283"/>
      <c r="T1004" s="281"/>
    </row>
    <row r="1005" spans="1:22" x14ac:dyDescent="0.25">
      <c r="A1005" s="270" t="s">
        <v>411</v>
      </c>
      <c r="B1005" s="31" t="s">
        <v>410</v>
      </c>
      <c r="C1005" s="31" t="s">
        <v>418</v>
      </c>
      <c r="D1005" s="31" t="s">
        <v>600</v>
      </c>
      <c r="E1005" s="31" t="s">
        <v>331</v>
      </c>
      <c r="F1005" s="35" t="s">
        <v>332</v>
      </c>
      <c r="G1005" s="33" t="s">
        <v>515</v>
      </c>
      <c r="H1005" s="33" t="s">
        <v>603</v>
      </c>
      <c r="I1005" s="36" t="s">
        <v>553</v>
      </c>
      <c r="J1005" s="36" t="s">
        <v>581</v>
      </c>
      <c r="K1005" s="36" t="s">
        <v>605</v>
      </c>
      <c r="L1005" s="37">
        <v>1300000</v>
      </c>
      <c r="M1005" s="271">
        <v>1300000</v>
      </c>
      <c r="N1005" s="34"/>
      <c r="O1005" s="34"/>
      <c r="P1005" s="272" t="s">
        <v>529</v>
      </c>
      <c r="R1005" s="281"/>
      <c r="S1005" s="283"/>
      <c r="T1005" s="281"/>
    </row>
    <row r="1006" spans="1:22" x14ac:dyDescent="0.25">
      <c r="A1006" s="270" t="s">
        <v>411</v>
      </c>
      <c r="B1006" s="31" t="s">
        <v>410</v>
      </c>
      <c r="C1006" s="31" t="s">
        <v>418</v>
      </c>
      <c r="D1006" s="31" t="s">
        <v>600</v>
      </c>
      <c r="E1006" s="31" t="s">
        <v>331</v>
      </c>
      <c r="F1006" s="35" t="s">
        <v>332</v>
      </c>
      <c r="G1006" s="33" t="s">
        <v>515</v>
      </c>
      <c r="H1006" s="33" t="s">
        <v>603</v>
      </c>
      <c r="I1006" s="36" t="s">
        <v>553</v>
      </c>
      <c r="J1006" s="36" t="s">
        <v>581</v>
      </c>
      <c r="K1006" s="36" t="s">
        <v>605</v>
      </c>
      <c r="L1006" s="37">
        <v>1200000</v>
      </c>
      <c r="M1006" s="271">
        <v>1200000</v>
      </c>
      <c r="N1006" s="34"/>
      <c r="O1006" s="34"/>
      <c r="P1006" s="272" t="s">
        <v>530</v>
      </c>
      <c r="R1006" s="281"/>
      <c r="S1006" s="283"/>
      <c r="T1006" s="281"/>
    </row>
    <row r="1007" spans="1:22" x14ac:dyDescent="0.25">
      <c r="A1007" s="270" t="s">
        <v>411</v>
      </c>
      <c r="B1007" s="31" t="s">
        <v>410</v>
      </c>
      <c r="C1007" s="31" t="s">
        <v>418</v>
      </c>
      <c r="D1007" s="31" t="s">
        <v>600</v>
      </c>
      <c r="E1007" s="31" t="s">
        <v>388</v>
      </c>
      <c r="F1007" s="35" t="s">
        <v>390</v>
      </c>
      <c r="G1007" s="33" t="s">
        <v>867</v>
      </c>
      <c r="H1007" s="33" t="s">
        <v>603</v>
      </c>
      <c r="I1007" s="36" t="s">
        <v>553</v>
      </c>
      <c r="J1007" s="36" t="s">
        <v>581</v>
      </c>
      <c r="K1007" s="36" t="s">
        <v>1038</v>
      </c>
      <c r="L1007" s="37">
        <v>7000000</v>
      </c>
      <c r="M1007" s="271">
        <v>8000000</v>
      </c>
      <c r="N1007" s="34"/>
      <c r="O1007" s="34"/>
      <c r="P1007" s="272" t="s">
        <v>920</v>
      </c>
      <c r="R1007" s="281"/>
      <c r="S1007" s="283"/>
      <c r="T1007" s="281"/>
    </row>
    <row r="1008" spans="1:22" x14ac:dyDescent="0.25">
      <c r="A1008" s="270" t="s">
        <v>411</v>
      </c>
      <c r="B1008" s="31" t="s">
        <v>410</v>
      </c>
      <c r="C1008" s="31" t="s">
        <v>418</v>
      </c>
      <c r="D1008" s="31" t="s">
        <v>600</v>
      </c>
      <c r="E1008" s="31" t="s">
        <v>389</v>
      </c>
      <c r="F1008" s="35" t="s">
        <v>767</v>
      </c>
      <c r="G1008" s="33" t="s">
        <v>867</v>
      </c>
      <c r="H1008" s="33" t="s">
        <v>603</v>
      </c>
      <c r="I1008" s="36" t="s">
        <v>553</v>
      </c>
      <c r="J1008" s="36" t="s">
        <v>581</v>
      </c>
      <c r="K1008" s="36" t="s">
        <v>1038</v>
      </c>
      <c r="L1008" s="37">
        <v>1750000</v>
      </c>
      <c r="M1008" s="271">
        <v>1750000</v>
      </c>
      <c r="N1008" s="34"/>
      <c r="O1008" s="34"/>
      <c r="P1008" s="272" t="s">
        <v>921</v>
      </c>
      <c r="R1008" s="281"/>
      <c r="S1008" s="283"/>
      <c r="T1008" s="281"/>
    </row>
    <row r="1009" spans="1:20" x14ac:dyDescent="0.25">
      <c r="A1009" s="270" t="s">
        <v>411</v>
      </c>
      <c r="B1009" s="31" t="s">
        <v>410</v>
      </c>
      <c r="C1009" s="31" t="s">
        <v>418</v>
      </c>
      <c r="D1009" s="31" t="s">
        <v>600</v>
      </c>
      <c r="E1009" s="31" t="s">
        <v>409</v>
      </c>
      <c r="F1009" s="35" t="s">
        <v>766</v>
      </c>
      <c r="G1009" s="33" t="s">
        <v>857</v>
      </c>
      <c r="H1009" s="33" t="s">
        <v>603</v>
      </c>
      <c r="I1009" s="36" t="s">
        <v>553</v>
      </c>
      <c r="J1009" s="36" t="s">
        <v>582</v>
      </c>
      <c r="K1009" s="36" t="s">
        <v>902</v>
      </c>
      <c r="L1009" s="37">
        <v>350000</v>
      </c>
      <c r="M1009" s="271">
        <v>350000</v>
      </c>
      <c r="N1009" s="34"/>
      <c r="O1009" s="34"/>
      <c r="P1009" s="272" t="s">
        <v>874</v>
      </c>
      <c r="R1009" s="281"/>
      <c r="S1009" s="283"/>
      <c r="T1009" s="281"/>
    </row>
    <row r="1010" spans="1:20" x14ac:dyDescent="0.25">
      <c r="A1010" s="270" t="s">
        <v>411</v>
      </c>
      <c r="B1010" s="31" t="s">
        <v>410</v>
      </c>
      <c r="C1010" s="31" t="s">
        <v>466</v>
      </c>
      <c r="D1010" s="31" t="s">
        <v>467</v>
      </c>
      <c r="E1010" s="31" t="s">
        <v>563</v>
      </c>
      <c r="F1010" s="35" t="s">
        <v>468</v>
      </c>
      <c r="G1010" s="33" t="s">
        <v>1117</v>
      </c>
      <c r="H1010" s="33" t="s">
        <v>603</v>
      </c>
      <c r="I1010" s="36" t="s">
        <v>555</v>
      </c>
      <c r="J1010" s="36" t="s">
        <v>578</v>
      </c>
      <c r="K1010" s="36" t="s">
        <v>1118</v>
      </c>
      <c r="L1010" s="37">
        <v>0</v>
      </c>
      <c r="M1010" s="271">
        <v>5000</v>
      </c>
      <c r="N1010" s="34"/>
      <c r="O1010" s="34" t="s">
        <v>1119</v>
      </c>
      <c r="P1010" s="272" t="s">
        <v>1152</v>
      </c>
      <c r="R1010" s="281"/>
      <c r="S1010" s="283"/>
      <c r="T1010" s="281"/>
    </row>
    <row r="1011" spans="1:20" x14ac:dyDescent="0.25">
      <c r="A1011" s="270" t="s">
        <v>411</v>
      </c>
      <c r="B1011" s="31" t="s">
        <v>410</v>
      </c>
      <c r="C1011" s="31" t="s">
        <v>466</v>
      </c>
      <c r="D1011" s="31" t="s">
        <v>467</v>
      </c>
      <c r="E1011" s="31" t="s">
        <v>564</v>
      </c>
      <c r="F1011" s="35" t="s">
        <v>387</v>
      </c>
      <c r="G1011" s="33" t="s">
        <v>535</v>
      </c>
      <c r="H1011" s="33" t="s">
        <v>603</v>
      </c>
      <c r="I1011" s="36" t="s">
        <v>553</v>
      </c>
      <c r="J1011" s="36" t="s">
        <v>889</v>
      </c>
      <c r="K1011" s="36" t="s">
        <v>584</v>
      </c>
      <c r="L1011" s="37">
        <v>3000</v>
      </c>
      <c r="M1011" s="271">
        <v>3500</v>
      </c>
      <c r="N1011" s="34"/>
      <c r="O1011" s="34"/>
      <c r="P1011" s="272" t="s">
        <v>544</v>
      </c>
      <c r="R1011" s="281"/>
      <c r="S1011" s="283"/>
      <c r="T1011" s="281"/>
    </row>
    <row r="1012" spans="1:20" x14ac:dyDescent="0.25">
      <c r="A1012" s="270" t="s">
        <v>411</v>
      </c>
      <c r="B1012" s="31" t="s">
        <v>410</v>
      </c>
      <c r="C1012" s="31" t="s">
        <v>466</v>
      </c>
      <c r="D1012" s="31" t="s">
        <v>467</v>
      </c>
      <c r="E1012" s="31" t="s">
        <v>564</v>
      </c>
      <c r="F1012" s="35" t="s">
        <v>387</v>
      </c>
      <c r="G1012" s="33" t="s">
        <v>547</v>
      </c>
      <c r="H1012" s="33" t="s">
        <v>603</v>
      </c>
      <c r="I1012" s="36" t="s">
        <v>553</v>
      </c>
      <c r="J1012" s="36" t="s">
        <v>889</v>
      </c>
      <c r="K1012" s="36" t="s">
        <v>584</v>
      </c>
      <c r="L1012" s="37">
        <v>1000</v>
      </c>
      <c r="M1012" s="271">
        <v>1500</v>
      </c>
      <c r="N1012" s="34"/>
      <c r="O1012" s="34"/>
      <c r="P1012" s="272" t="s">
        <v>886</v>
      </c>
      <c r="R1012" s="281"/>
      <c r="S1012" s="283"/>
      <c r="T1012" s="281"/>
    </row>
    <row r="1013" spans="1:20" x14ac:dyDescent="0.25">
      <c r="A1013" s="270" t="s">
        <v>411</v>
      </c>
      <c r="B1013" s="31" t="s">
        <v>410</v>
      </c>
      <c r="C1013" s="31" t="s">
        <v>466</v>
      </c>
      <c r="D1013" s="31" t="s">
        <v>467</v>
      </c>
      <c r="E1013" s="31" t="s">
        <v>564</v>
      </c>
      <c r="F1013" s="35" t="s">
        <v>387</v>
      </c>
      <c r="G1013" s="33" t="s">
        <v>885</v>
      </c>
      <c r="H1013" s="33" t="s">
        <v>603</v>
      </c>
      <c r="I1013" s="36" t="s">
        <v>555</v>
      </c>
      <c r="J1013" s="36" t="s">
        <v>875</v>
      </c>
      <c r="K1013" s="36" t="s">
        <v>1196</v>
      </c>
      <c r="L1013" s="37">
        <v>11550</v>
      </c>
      <c r="M1013" s="271">
        <v>13000</v>
      </c>
      <c r="N1013" s="34"/>
      <c r="O1013" s="34" t="s">
        <v>1181</v>
      </c>
      <c r="P1013" s="272" t="s">
        <v>1173</v>
      </c>
      <c r="R1013" s="281"/>
      <c r="S1013" s="283"/>
      <c r="T1013" s="281"/>
    </row>
    <row r="1014" spans="1:20" x14ac:dyDescent="0.25">
      <c r="A1014" s="270" t="s">
        <v>411</v>
      </c>
      <c r="B1014" s="31" t="s">
        <v>410</v>
      </c>
      <c r="C1014" s="31" t="s">
        <v>466</v>
      </c>
      <c r="D1014" s="31" t="s">
        <v>467</v>
      </c>
      <c r="E1014" s="31" t="s">
        <v>564</v>
      </c>
      <c r="F1014" s="35" t="s">
        <v>387</v>
      </c>
      <c r="G1014" s="33" t="s">
        <v>885</v>
      </c>
      <c r="H1014" s="33" t="s">
        <v>603</v>
      </c>
      <c r="I1014" s="36" t="s">
        <v>555</v>
      </c>
      <c r="J1014" s="36" t="s">
        <v>875</v>
      </c>
      <c r="K1014" s="36" t="s">
        <v>1196</v>
      </c>
      <c r="L1014" s="37">
        <v>2310</v>
      </c>
      <c r="M1014" s="271">
        <v>3000</v>
      </c>
      <c r="N1014" s="34"/>
      <c r="O1014" s="34" t="s">
        <v>1181</v>
      </c>
      <c r="P1014" s="272" t="s">
        <v>1172</v>
      </c>
      <c r="R1014" s="281"/>
      <c r="S1014" s="283"/>
      <c r="T1014" s="281"/>
    </row>
    <row r="1015" spans="1:20" x14ac:dyDescent="0.25">
      <c r="A1015" s="270" t="s">
        <v>411</v>
      </c>
      <c r="B1015" s="31" t="s">
        <v>410</v>
      </c>
      <c r="C1015" s="31" t="s">
        <v>466</v>
      </c>
      <c r="D1015" s="31" t="s">
        <v>467</v>
      </c>
      <c r="E1015" s="31" t="s">
        <v>564</v>
      </c>
      <c r="F1015" s="35" t="s">
        <v>387</v>
      </c>
      <c r="G1015" s="33" t="s">
        <v>885</v>
      </c>
      <c r="H1015" s="33" t="s">
        <v>603</v>
      </c>
      <c r="I1015" s="36" t="s">
        <v>555</v>
      </c>
      <c r="J1015" s="36" t="s">
        <v>875</v>
      </c>
      <c r="K1015" s="36" t="s">
        <v>1196</v>
      </c>
      <c r="L1015" s="37">
        <v>2200</v>
      </c>
      <c r="M1015" s="271">
        <v>2500</v>
      </c>
      <c r="N1015" s="34"/>
      <c r="O1015" s="34" t="s">
        <v>1182</v>
      </c>
      <c r="P1015" s="272" t="s">
        <v>1168</v>
      </c>
      <c r="R1015" s="281"/>
      <c r="S1015" s="283"/>
      <c r="T1015" s="281"/>
    </row>
    <row r="1016" spans="1:20" x14ac:dyDescent="0.25">
      <c r="A1016" s="270" t="s">
        <v>411</v>
      </c>
      <c r="B1016" s="31" t="s">
        <v>410</v>
      </c>
      <c r="C1016" s="31" t="s">
        <v>466</v>
      </c>
      <c r="D1016" s="31" t="s">
        <v>467</v>
      </c>
      <c r="E1016" s="31" t="s">
        <v>564</v>
      </c>
      <c r="F1016" s="35" t="s">
        <v>387</v>
      </c>
      <c r="G1016" s="33" t="s">
        <v>885</v>
      </c>
      <c r="H1016" s="33" t="s">
        <v>603</v>
      </c>
      <c r="I1016" s="36" t="s">
        <v>555</v>
      </c>
      <c r="J1016" s="36" t="s">
        <v>875</v>
      </c>
      <c r="K1016" s="36" t="s">
        <v>1196</v>
      </c>
      <c r="L1016" s="37">
        <v>440</v>
      </c>
      <c r="M1016" s="271">
        <v>500</v>
      </c>
      <c r="N1016" s="34"/>
      <c r="O1016" s="34" t="s">
        <v>1182</v>
      </c>
      <c r="P1016" s="272" t="s">
        <v>1170</v>
      </c>
      <c r="R1016" s="281"/>
      <c r="S1016" s="283"/>
      <c r="T1016" s="281"/>
    </row>
    <row r="1017" spans="1:20" x14ac:dyDescent="0.25">
      <c r="A1017" s="270" t="s">
        <v>411</v>
      </c>
      <c r="B1017" s="31" t="s">
        <v>410</v>
      </c>
      <c r="C1017" s="31" t="s">
        <v>466</v>
      </c>
      <c r="D1017" s="31" t="s">
        <v>467</v>
      </c>
      <c r="E1017" s="31" t="s">
        <v>564</v>
      </c>
      <c r="F1017" s="35" t="s">
        <v>387</v>
      </c>
      <c r="G1017" s="33" t="s">
        <v>885</v>
      </c>
      <c r="H1017" s="33" t="s">
        <v>603</v>
      </c>
      <c r="I1017" s="36" t="s">
        <v>555</v>
      </c>
      <c r="J1017" s="36" t="s">
        <v>875</v>
      </c>
      <c r="K1017" s="36" t="s">
        <v>1196</v>
      </c>
      <c r="L1017" s="37">
        <v>29700</v>
      </c>
      <c r="M1017" s="271">
        <v>31500</v>
      </c>
      <c r="N1017" s="34"/>
      <c r="O1017" s="34" t="s">
        <v>1183</v>
      </c>
      <c r="P1017" s="272" t="s">
        <v>1180</v>
      </c>
      <c r="R1017" s="281"/>
      <c r="S1017" s="283"/>
      <c r="T1017" s="281"/>
    </row>
    <row r="1018" spans="1:20" x14ac:dyDescent="0.25">
      <c r="A1018" s="270" t="s">
        <v>411</v>
      </c>
      <c r="B1018" s="31" t="s">
        <v>410</v>
      </c>
      <c r="C1018" s="31" t="s">
        <v>466</v>
      </c>
      <c r="D1018" s="31" t="s">
        <v>467</v>
      </c>
      <c r="E1018" s="31" t="s">
        <v>564</v>
      </c>
      <c r="F1018" s="35" t="s">
        <v>387</v>
      </c>
      <c r="G1018" s="33" t="s">
        <v>885</v>
      </c>
      <c r="H1018" s="33" t="s">
        <v>603</v>
      </c>
      <c r="I1018" s="36" t="s">
        <v>555</v>
      </c>
      <c r="J1018" s="36" t="s">
        <v>875</v>
      </c>
      <c r="K1018" s="36" t="s">
        <v>1196</v>
      </c>
      <c r="L1018" s="37">
        <v>5940</v>
      </c>
      <c r="M1018" s="271">
        <v>6500</v>
      </c>
      <c r="N1018" s="34"/>
      <c r="O1018" s="34" t="s">
        <v>1183</v>
      </c>
      <c r="P1018" s="272" t="s">
        <v>1178</v>
      </c>
      <c r="R1018" s="281"/>
      <c r="S1018" s="283"/>
      <c r="T1018" s="281"/>
    </row>
    <row r="1019" spans="1:20" x14ac:dyDescent="0.25">
      <c r="A1019" s="270" t="s">
        <v>411</v>
      </c>
      <c r="B1019" s="31" t="s">
        <v>410</v>
      </c>
      <c r="C1019" s="31" t="s">
        <v>466</v>
      </c>
      <c r="D1019" s="31" t="s">
        <v>467</v>
      </c>
      <c r="E1019" s="31" t="s">
        <v>564</v>
      </c>
      <c r="F1019" s="35" t="s">
        <v>387</v>
      </c>
      <c r="G1019" s="33" t="s">
        <v>885</v>
      </c>
      <c r="H1019" s="33" t="s">
        <v>603</v>
      </c>
      <c r="I1019" s="36" t="s">
        <v>555</v>
      </c>
      <c r="J1019" s="36" t="s">
        <v>875</v>
      </c>
      <c r="K1019" s="36" t="s">
        <v>1195</v>
      </c>
      <c r="L1019" s="37">
        <v>33000</v>
      </c>
      <c r="M1019" s="271">
        <v>33000</v>
      </c>
      <c r="N1019" s="34"/>
      <c r="O1019" s="34" t="s">
        <v>1192</v>
      </c>
      <c r="P1019" s="272" t="s">
        <v>1191</v>
      </c>
      <c r="R1019" s="281"/>
      <c r="S1019" s="283"/>
      <c r="T1019" s="281"/>
    </row>
    <row r="1020" spans="1:20" x14ac:dyDescent="0.25">
      <c r="A1020" s="270" t="s">
        <v>411</v>
      </c>
      <c r="B1020" s="31" t="s">
        <v>410</v>
      </c>
      <c r="C1020" s="31" t="s">
        <v>466</v>
      </c>
      <c r="D1020" s="31" t="s">
        <v>467</v>
      </c>
      <c r="E1020" s="31" t="s">
        <v>565</v>
      </c>
      <c r="F1020" s="35" t="s">
        <v>382</v>
      </c>
      <c r="G1020" s="33" t="s">
        <v>499</v>
      </c>
      <c r="H1020" s="33" t="s">
        <v>603</v>
      </c>
      <c r="I1020" s="36" t="s">
        <v>555</v>
      </c>
      <c r="J1020" s="36" t="s">
        <v>579</v>
      </c>
      <c r="K1020" s="36" t="s">
        <v>587</v>
      </c>
      <c r="L1020" s="37">
        <v>20000</v>
      </c>
      <c r="M1020" s="271">
        <v>20000</v>
      </c>
      <c r="N1020" s="34"/>
      <c r="O1020" s="34"/>
      <c r="P1020" s="272" t="s">
        <v>883</v>
      </c>
      <c r="R1020" s="281"/>
      <c r="S1020" s="283"/>
      <c r="T1020" s="281"/>
    </row>
    <row r="1021" spans="1:20" x14ac:dyDescent="0.25">
      <c r="A1021" s="270" t="s">
        <v>411</v>
      </c>
      <c r="B1021" s="31" t="s">
        <v>410</v>
      </c>
      <c r="C1021" s="31" t="s">
        <v>469</v>
      </c>
      <c r="D1021" s="31" t="s">
        <v>469</v>
      </c>
      <c r="E1021" s="31" t="s">
        <v>245</v>
      </c>
      <c r="F1021" s="35" t="s">
        <v>384</v>
      </c>
      <c r="G1021" s="33" t="s">
        <v>499</v>
      </c>
      <c r="H1021" s="33" t="s">
        <v>603</v>
      </c>
      <c r="I1021" s="36" t="s">
        <v>555</v>
      </c>
      <c r="J1021" s="36" t="s">
        <v>579</v>
      </c>
      <c r="K1021" s="36" t="s">
        <v>587</v>
      </c>
      <c r="L1021" s="37">
        <v>1846000</v>
      </c>
      <c r="M1021" s="271">
        <v>1850000</v>
      </c>
      <c r="N1021" s="34" t="s">
        <v>964</v>
      </c>
      <c r="O1021" s="34" t="s">
        <v>965</v>
      </c>
      <c r="P1021" s="272" t="s">
        <v>882</v>
      </c>
      <c r="R1021" s="281"/>
      <c r="S1021" s="283"/>
      <c r="T1021" s="281"/>
    </row>
    <row r="1022" spans="1:20" x14ac:dyDescent="0.25">
      <c r="A1022" s="270" t="s">
        <v>411</v>
      </c>
      <c r="B1022" s="31" t="s">
        <v>410</v>
      </c>
      <c r="C1022" s="31" t="s">
        <v>469</v>
      </c>
      <c r="D1022" s="31" t="s">
        <v>469</v>
      </c>
      <c r="E1022" s="31" t="s">
        <v>246</v>
      </c>
      <c r="F1022" s="35" t="s">
        <v>470</v>
      </c>
      <c r="G1022" s="33" t="s">
        <v>534</v>
      </c>
      <c r="H1022" s="33" t="s">
        <v>603</v>
      </c>
      <c r="I1022" s="36" t="s">
        <v>553</v>
      </c>
      <c r="J1022" s="36" t="s">
        <v>582</v>
      </c>
      <c r="K1022" s="36" t="s">
        <v>902</v>
      </c>
      <c r="L1022" s="37">
        <v>1500000</v>
      </c>
      <c r="M1022" s="271">
        <v>1500000</v>
      </c>
      <c r="N1022" s="34"/>
      <c r="O1022" s="34"/>
      <c r="P1022" s="272" t="s">
        <v>938</v>
      </c>
      <c r="R1022" s="281"/>
      <c r="S1022" s="283"/>
      <c r="T1022" s="281"/>
    </row>
    <row r="1023" spans="1:20" x14ac:dyDescent="0.25">
      <c r="A1023" s="270" t="s">
        <v>411</v>
      </c>
      <c r="B1023" s="31" t="s">
        <v>410</v>
      </c>
      <c r="C1023" s="31" t="s">
        <v>469</v>
      </c>
      <c r="D1023" s="31" t="s">
        <v>469</v>
      </c>
      <c r="E1023" s="31" t="s">
        <v>247</v>
      </c>
      <c r="F1023" s="35" t="s">
        <v>471</v>
      </c>
      <c r="G1023" s="33" t="s">
        <v>545</v>
      </c>
      <c r="H1023" s="33" t="s">
        <v>603</v>
      </c>
      <c r="I1023" s="36" t="s">
        <v>553</v>
      </c>
      <c r="J1023" s="36" t="s">
        <v>582</v>
      </c>
      <c r="K1023" s="36" t="s">
        <v>902</v>
      </c>
      <c r="L1023" s="37">
        <v>0</v>
      </c>
      <c r="M1023" s="271">
        <v>0</v>
      </c>
      <c r="N1023" s="34"/>
      <c r="O1023" s="34"/>
      <c r="P1023" s="272" t="s">
        <v>991</v>
      </c>
      <c r="R1023" s="281"/>
      <c r="S1023" s="283"/>
      <c r="T1023" s="281"/>
    </row>
    <row r="1024" spans="1:20" x14ac:dyDescent="0.25">
      <c r="A1024" s="270" t="s">
        <v>411</v>
      </c>
      <c r="B1024" s="31" t="s">
        <v>410</v>
      </c>
      <c r="C1024" s="31" t="s">
        <v>469</v>
      </c>
      <c r="D1024" s="31" t="s">
        <v>469</v>
      </c>
      <c r="E1024" s="31" t="s">
        <v>248</v>
      </c>
      <c r="F1024" s="35" t="s">
        <v>472</v>
      </c>
      <c r="G1024" s="33" t="s">
        <v>535</v>
      </c>
      <c r="H1024" s="33" t="s">
        <v>603</v>
      </c>
      <c r="I1024" s="36" t="s">
        <v>553</v>
      </c>
      <c r="J1024" s="36" t="s">
        <v>889</v>
      </c>
      <c r="K1024" s="36" t="s">
        <v>584</v>
      </c>
      <c r="L1024" s="37">
        <v>20000</v>
      </c>
      <c r="M1024" s="271">
        <v>20000</v>
      </c>
      <c r="N1024" s="34"/>
      <c r="O1024" s="34"/>
      <c r="P1024" s="272" t="s">
        <v>543</v>
      </c>
      <c r="R1024" s="281"/>
      <c r="S1024" s="283"/>
      <c r="T1024" s="281"/>
    </row>
    <row r="1025" spans="1:20" x14ac:dyDescent="0.25">
      <c r="A1025" s="270" t="s">
        <v>411</v>
      </c>
      <c r="B1025" s="31" t="s">
        <v>410</v>
      </c>
      <c r="C1025" s="31" t="s">
        <v>385</v>
      </c>
      <c r="D1025" s="31" t="s">
        <v>385</v>
      </c>
      <c r="E1025" s="31" t="s">
        <v>272</v>
      </c>
      <c r="F1025" s="35" t="s">
        <v>473</v>
      </c>
      <c r="G1025" s="33" t="s">
        <v>534</v>
      </c>
      <c r="H1025" s="33" t="s">
        <v>603</v>
      </c>
      <c r="I1025" s="36" t="s">
        <v>553</v>
      </c>
      <c r="J1025" s="36" t="s">
        <v>582</v>
      </c>
      <c r="K1025" s="36" t="s">
        <v>902</v>
      </c>
      <c r="L1025" s="37">
        <v>100000</v>
      </c>
      <c r="M1025" s="271">
        <v>100000</v>
      </c>
      <c r="N1025" s="34"/>
      <c r="O1025" s="34"/>
      <c r="P1025" s="272" t="s">
        <v>923</v>
      </c>
      <c r="R1025" s="281"/>
      <c r="S1025" s="283"/>
      <c r="T1025" s="281"/>
    </row>
    <row r="1026" spans="1:20" x14ac:dyDescent="0.25">
      <c r="A1026" s="270" t="s">
        <v>411</v>
      </c>
      <c r="B1026" s="31" t="s">
        <v>410</v>
      </c>
      <c r="C1026" s="31" t="s">
        <v>385</v>
      </c>
      <c r="D1026" s="31" t="s">
        <v>385</v>
      </c>
      <c r="E1026" s="31" t="s">
        <v>272</v>
      </c>
      <c r="F1026" s="35" t="s">
        <v>473</v>
      </c>
      <c r="G1026" s="33" t="s">
        <v>885</v>
      </c>
      <c r="H1026" s="33" t="s">
        <v>603</v>
      </c>
      <c r="I1026" s="36" t="s">
        <v>555</v>
      </c>
      <c r="J1026" s="36" t="s">
        <v>875</v>
      </c>
      <c r="K1026" s="36" t="s">
        <v>1196</v>
      </c>
      <c r="L1026" s="37">
        <v>550</v>
      </c>
      <c r="M1026" s="271">
        <v>600</v>
      </c>
      <c r="N1026" s="34"/>
      <c r="O1026" s="34" t="s">
        <v>1181</v>
      </c>
      <c r="P1026" s="272" t="s">
        <v>1176</v>
      </c>
      <c r="R1026" s="281"/>
      <c r="S1026" s="283"/>
      <c r="T1026" s="281"/>
    </row>
    <row r="1027" spans="1:20" x14ac:dyDescent="0.25">
      <c r="A1027" s="270" t="s">
        <v>411</v>
      </c>
      <c r="B1027" s="31" t="s">
        <v>410</v>
      </c>
      <c r="C1027" s="31" t="s">
        <v>385</v>
      </c>
      <c r="D1027" s="31" t="s">
        <v>385</v>
      </c>
      <c r="E1027" s="31" t="s">
        <v>272</v>
      </c>
      <c r="F1027" s="35" t="s">
        <v>473</v>
      </c>
      <c r="G1027" s="33" t="s">
        <v>885</v>
      </c>
      <c r="H1027" s="33" t="s">
        <v>603</v>
      </c>
      <c r="I1027" s="36" t="s">
        <v>555</v>
      </c>
      <c r="J1027" s="36" t="s">
        <v>875</v>
      </c>
      <c r="K1027" s="36" t="s">
        <v>1196</v>
      </c>
      <c r="L1027" s="37">
        <v>550</v>
      </c>
      <c r="M1027" s="271">
        <v>600</v>
      </c>
      <c r="N1027" s="34"/>
      <c r="O1027" s="34" t="s">
        <v>1182</v>
      </c>
      <c r="P1027" s="272" t="s">
        <v>1177</v>
      </c>
      <c r="R1027" s="281"/>
      <c r="S1027" s="283"/>
      <c r="T1027" s="281"/>
    </row>
    <row r="1028" spans="1:20" x14ac:dyDescent="0.25">
      <c r="A1028" s="270" t="s">
        <v>411</v>
      </c>
      <c r="B1028" s="31" t="s">
        <v>410</v>
      </c>
      <c r="C1028" s="31" t="s">
        <v>385</v>
      </c>
      <c r="D1028" s="31" t="s">
        <v>385</v>
      </c>
      <c r="E1028" s="31" t="s">
        <v>272</v>
      </c>
      <c r="F1028" s="35" t="s">
        <v>473</v>
      </c>
      <c r="G1028" s="33" t="s">
        <v>885</v>
      </c>
      <c r="H1028" s="33" t="s">
        <v>603</v>
      </c>
      <c r="I1028" s="36" t="s">
        <v>555</v>
      </c>
      <c r="J1028" s="36" t="s">
        <v>875</v>
      </c>
      <c r="K1028" s="36" t="s">
        <v>1196</v>
      </c>
      <c r="L1028" s="37">
        <v>550</v>
      </c>
      <c r="M1028" s="271">
        <v>600</v>
      </c>
      <c r="N1028" s="34"/>
      <c r="O1028" s="34" t="s">
        <v>1183</v>
      </c>
      <c r="P1028" s="272" t="s">
        <v>1179</v>
      </c>
      <c r="R1028" s="281"/>
      <c r="S1028" s="283"/>
      <c r="T1028" s="281"/>
    </row>
    <row r="1029" spans="1:20" x14ac:dyDescent="0.25">
      <c r="A1029" s="270" t="s">
        <v>411</v>
      </c>
      <c r="B1029" s="31" t="s">
        <v>410</v>
      </c>
      <c r="C1029" s="31" t="s">
        <v>385</v>
      </c>
      <c r="D1029" s="31" t="s">
        <v>385</v>
      </c>
      <c r="E1029" s="31" t="s">
        <v>272</v>
      </c>
      <c r="F1029" s="35" t="s">
        <v>473</v>
      </c>
      <c r="G1029" s="33" t="s">
        <v>885</v>
      </c>
      <c r="H1029" s="33" t="s">
        <v>603</v>
      </c>
      <c r="I1029" s="36" t="s">
        <v>555</v>
      </c>
      <c r="J1029" s="36" t="s">
        <v>875</v>
      </c>
      <c r="K1029" s="36" t="s">
        <v>1195</v>
      </c>
      <c r="L1029" s="37">
        <f>550*5</f>
        <v>2750</v>
      </c>
      <c r="M1029" s="271">
        <v>3200</v>
      </c>
      <c r="N1029" s="34"/>
      <c r="O1029" s="34" t="s">
        <v>1192</v>
      </c>
      <c r="P1029" s="272" t="s">
        <v>1189</v>
      </c>
      <c r="R1029" s="281"/>
      <c r="S1029" s="283"/>
      <c r="T1029" s="281"/>
    </row>
    <row r="1030" spans="1:20" x14ac:dyDescent="0.25">
      <c r="A1030" s="270" t="s">
        <v>411</v>
      </c>
      <c r="B1030" s="31" t="s">
        <v>410</v>
      </c>
      <c r="C1030" s="31" t="s">
        <v>385</v>
      </c>
      <c r="D1030" s="31" t="s">
        <v>385</v>
      </c>
      <c r="E1030" s="31" t="s">
        <v>273</v>
      </c>
      <c r="F1030" s="35" t="s">
        <v>474</v>
      </c>
      <c r="G1030" s="33" t="s">
        <v>534</v>
      </c>
      <c r="H1030" s="33" t="s">
        <v>603</v>
      </c>
      <c r="I1030" s="36" t="s">
        <v>553</v>
      </c>
      <c r="J1030" s="36" t="s">
        <v>582</v>
      </c>
      <c r="K1030" s="36" t="s">
        <v>902</v>
      </c>
      <c r="L1030" s="37">
        <v>850000</v>
      </c>
      <c r="M1030" s="271">
        <v>850000</v>
      </c>
      <c r="N1030" s="34"/>
      <c r="O1030" s="34"/>
      <c r="P1030" s="272" t="s">
        <v>937</v>
      </c>
      <c r="R1030" s="281"/>
      <c r="S1030" s="283"/>
      <c r="T1030" s="281"/>
    </row>
    <row r="1031" spans="1:20" x14ac:dyDescent="0.25">
      <c r="A1031" s="270" t="s">
        <v>411</v>
      </c>
      <c r="B1031" s="31" t="s">
        <v>410</v>
      </c>
      <c r="C1031" s="31" t="s">
        <v>475</v>
      </c>
      <c r="D1031" s="31" t="s">
        <v>476</v>
      </c>
      <c r="E1031" s="31" t="s">
        <v>278</v>
      </c>
      <c r="F1031" s="35" t="s">
        <v>488</v>
      </c>
      <c r="G1031" s="33" t="s">
        <v>596</v>
      </c>
      <c r="H1031" s="33" t="s">
        <v>603</v>
      </c>
      <c r="I1031" s="36" t="s">
        <v>555</v>
      </c>
      <c r="J1031" s="36" t="s">
        <v>578</v>
      </c>
      <c r="K1031" s="36" t="s">
        <v>558</v>
      </c>
      <c r="L1031" s="37">
        <v>1351000</v>
      </c>
      <c r="M1031" s="271">
        <v>1351000</v>
      </c>
      <c r="N1031" s="34" t="s">
        <v>970</v>
      </c>
      <c r="O1031" s="34" t="s">
        <v>971</v>
      </c>
      <c r="P1031" s="272" t="s">
        <v>972</v>
      </c>
      <c r="R1031" s="281"/>
      <c r="S1031" s="283"/>
      <c r="T1031" s="281"/>
    </row>
    <row r="1032" spans="1:20" x14ac:dyDescent="0.25">
      <c r="A1032" s="270" t="s">
        <v>411</v>
      </c>
      <c r="B1032" s="31" t="s">
        <v>410</v>
      </c>
      <c r="C1032" s="31" t="s">
        <v>475</v>
      </c>
      <c r="D1032" s="31" t="s">
        <v>476</v>
      </c>
      <c r="E1032" s="31" t="s">
        <v>278</v>
      </c>
      <c r="F1032" s="35" t="s">
        <v>488</v>
      </c>
      <c r="G1032" s="33" t="s">
        <v>596</v>
      </c>
      <c r="H1032" s="33" t="s">
        <v>603</v>
      </c>
      <c r="I1032" s="36" t="s">
        <v>555</v>
      </c>
      <c r="J1032" s="36" t="s">
        <v>578</v>
      </c>
      <c r="K1032" s="36" t="s">
        <v>559</v>
      </c>
      <c r="L1032" s="37">
        <v>10132500</v>
      </c>
      <c r="M1032" s="271">
        <v>10132500</v>
      </c>
      <c r="N1032" s="34" t="s">
        <v>970</v>
      </c>
      <c r="O1032" s="34" t="s">
        <v>971</v>
      </c>
      <c r="P1032" s="272" t="s">
        <v>972</v>
      </c>
      <c r="R1032" s="281"/>
      <c r="S1032" s="283"/>
      <c r="T1032" s="281"/>
    </row>
    <row r="1033" spans="1:20" x14ac:dyDescent="0.25">
      <c r="A1033" s="270" t="s">
        <v>411</v>
      </c>
      <c r="B1033" s="31" t="s">
        <v>410</v>
      </c>
      <c r="C1033" s="31" t="s">
        <v>475</v>
      </c>
      <c r="D1033" s="31" t="s">
        <v>476</v>
      </c>
      <c r="E1033" s="31" t="s">
        <v>278</v>
      </c>
      <c r="F1033" s="35" t="s">
        <v>488</v>
      </c>
      <c r="G1033" s="33" t="s">
        <v>596</v>
      </c>
      <c r="H1033" s="33" t="s">
        <v>603</v>
      </c>
      <c r="I1033" s="36" t="s">
        <v>555</v>
      </c>
      <c r="J1033" s="36" t="s">
        <v>578</v>
      </c>
      <c r="K1033" s="36" t="s">
        <v>560</v>
      </c>
      <c r="L1033" s="37">
        <v>2026500</v>
      </c>
      <c r="M1033" s="271">
        <v>2026500</v>
      </c>
      <c r="N1033" s="34" t="s">
        <v>970</v>
      </c>
      <c r="O1033" s="34" t="s">
        <v>971</v>
      </c>
      <c r="P1033" s="272" t="s">
        <v>972</v>
      </c>
      <c r="R1033" s="281"/>
      <c r="S1033" s="283"/>
      <c r="T1033" s="281"/>
    </row>
    <row r="1034" spans="1:20" x14ac:dyDescent="0.25">
      <c r="A1034" s="270" t="s">
        <v>411</v>
      </c>
      <c r="B1034" s="31" t="s">
        <v>410</v>
      </c>
      <c r="C1034" s="31" t="s">
        <v>475</v>
      </c>
      <c r="D1034" s="31" t="s">
        <v>476</v>
      </c>
      <c r="E1034" s="31" t="s">
        <v>278</v>
      </c>
      <c r="F1034" s="35" t="s">
        <v>488</v>
      </c>
      <c r="G1034" s="33" t="s">
        <v>596</v>
      </c>
      <c r="H1034" s="33" t="s">
        <v>603</v>
      </c>
      <c r="I1034" s="36" t="s">
        <v>555</v>
      </c>
      <c r="J1034" s="36" t="s">
        <v>578</v>
      </c>
      <c r="K1034" s="36" t="s">
        <v>922</v>
      </c>
      <c r="L1034" s="37">
        <v>0</v>
      </c>
      <c r="M1034" s="271">
        <v>0</v>
      </c>
      <c r="N1034" s="34" t="s">
        <v>970</v>
      </c>
      <c r="O1034" s="34" t="s">
        <v>971</v>
      </c>
      <c r="P1034" s="272" t="s">
        <v>972</v>
      </c>
      <c r="R1034" s="281"/>
      <c r="S1034" s="283"/>
      <c r="T1034" s="281"/>
    </row>
    <row r="1035" spans="1:20" x14ac:dyDescent="0.25">
      <c r="A1035" s="270" t="s">
        <v>411</v>
      </c>
      <c r="B1035" s="31" t="s">
        <v>410</v>
      </c>
      <c r="C1035" s="31" t="s">
        <v>475</v>
      </c>
      <c r="D1035" s="31" t="s">
        <v>476</v>
      </c>
      <c r="E1035" s="31" t="s">
        <v>566</v>
      </c>
      <c r="F1035" s="35" t="s">
        <v>479</v>
      </c>
      <c r="G1035" s="33" t="s">
        <v>489</v>
      </c>
      <c r="H1035" s="33" t="s">
        <v>603</v>
      </c>
      <c r="I1035" s="36" t="s">
        <v>555</v>
      </c>
      <c r="J1035" s="36" t="s">
        <v>578</v>
      </c>
      <c r="K1035" s="36" t="s">
        <v>500</v>
      </c>
      <c r="L1035" s="37">
        <v>0</v>
      </c>
      <c r="M1035" s="271">
        <v>0</v>
      </c>
      <c r="N1035" s="34"/>
      <c r="O1035" s="34"/>
      <c r="P1035" s="272" t="s">
        <v>872</v>
      </c>
      <c r="R1035" s="281"/>
      <c r="S1035" s="283"/>
      <c r="T1035" s="281"/>
    </row>
    <row r="1036" spans="1:20" x14ac:dyDescent="0.25">
      <c r="A1036" s="270" t="s">
        <v>411</v>
      </c>
      <c r="B1036" s="31" t="s">
        <v>410</v>
      </c>
      <c r="C1036" s="31" t="s">
        <v>475</v>
      </c>
      <c r="D1036" s="31" t="s">
        <v>476</v>
      </c>
      <c r="E1036" s="31" t="s">
        <v>567</v>
      </c>
      <c r="F1036" s="35" t="s">
        <v>477</v>
      </c>
      <c r="G1036" s="33" t="s">
        <v>527</v>
      </c>
      <c r="H1036" s="33" t="s">
        <v>603</v>
      </c>
      <c r="I1036" s="36" t="s">
        <v>555</v>
      </c>
      <c r="J1036" s="36" t="s">
        <v>875</v>
      </c>
      <c r="K1036" s="36" t="s">
        <v>518</v>
      </c>
      <c r="L1036" s="37">
        <v>5000000</v>
      </c>
      <c r="M1036" s="271">
        <v>5000000</v>
      </c>
      <c r="N1036" s="34"/>
      <c r="O1036" s="34"/>
      <c r="P1036" s="272" t="s">
        <v>1217</v>
      </c>
      <c r="R1036" s="281"/>
      <c r="S1036" s="283"/>
      <c r="T1036" s="281"/>
    </row>
    <row r="1037" spans="1:20" x14ac:dyDescent="0.25">
      <c r="A1037" s="270" t="s">
        <v>411</v>
      </c>
      <c r="B1037" s="31" t="s">
        <v>410</v>
      </c>
      <c r="C1037" s="31" t="s">
        <v>475</v>
      </c>
      <c r="D1037" s="31" t="s">
        <v>476</v>
      </c>
      <c r="E1037" s="31" t="s">
        <v>568</v>
      </c>
      <c r="F1037" s="35" t="s">
        <v>478</v>
      </c>
      <c r="G1037" s="33" t="s">
        <v>1166</v>
      </c>
      <c r="H1037" s="33" t="s">
        <v>603</v>
      </c>
      <c r="I1037" s="36" t="s">
        <v>555</v>
      </c>
      <c r="J1037" s="36" t="s">
        <v>875</v>
      </c>
      <c r="K1037" s="36" t="s">
        <v>519</v>
      </c>
      <c r="L1037" s="37">
        <v>0</v>
      </c>
      <c r="M1037" s="271">
        <v>0</v>
      </c>
      <c r="N1037" s="34"/>
      <c r="O1037" s="34" t="s">
        <v>1161</v>
      </c>
      <c r="P1037" s="272" t="s">
        <v>1165</v>
      </c>
      <c r="R1037" s="281"/>
      <c r="S1037" s="283"/>
      <c r="T1037" s="281"/>
    </row>
    <row r="1038" spans="1:20" x14ac:dyDescent="0.25">
      <c r="A1038" s="270" t="s">
        <v>411</v>
      </c>
      <c r="B1038" s="31" t="s">
        <v>410</v>
      </c>
      <c r="C1038" s="31" t="s">
        <v>475</v>
      </c>
      <c r="D1038" s="31" t="s">
        <v>476</v>
      </c>
      <c r="E1038" s="31" t="s">
        <v>570</v>
      </c>
      <c r="F1038" s="35" t="s">
        <v>569</v>
      </c>
      <c r="G1038" s="33" t="s">
        <v>1163</v>
      </c>
      <c r="H1038" s="33" t="s">
        <v>603</v>
      </c>
      <c r="I1038" s="36" t="s">
        <v>555</v>
      </c>
      <c r="J1038" s="36" t="s">
        <v>875</v>
      </c>
      <c r="K1038" s="36" t="s">
        <v>590</v>
      </c>
      <c r="L1038" s="37">
        <v>0</v>
      </c>
      <c r="M1038" s="271">
        <v>0</v>
      </c>
      <c r="N1038" s="34"/>
      <c r="O1038" s="34" t="s">
        <v>1161</v>
      </c>
      <c r="P1038" s="272" t="s">
        <v>1162</v>
      </c>
      <c r="R1038" s="281"/>
      <c r="S1038" s="283"/>
      <c r="T1038" s="281"/>
    </row>
    <row r="1039" spans="1:20" x14ac:dyDescent="0.25">
      <c r="A1039" s="270" t="s">
        <v>411</v>
      </c>
      <c r="B1039" s="31" t="s">
        <v>410</v>
      </c>
      <c r="C1039" s="31" t="s">
        <v>480</v>
      </c>
      <c r="D1039" s="31" t="s">
        <v>480</v>
      </c>
      <c r="E1039" s="31" t="s">
        <v>281</v>
      </c>
      <c r="F1039" s="35" t="s">
        <v>481</v>
      </c>
      <c r="G1039" s="33" t="s">
        <v>545</v>
      </c>
      <c r="H1039" s="33" t="s">
        <v>603</v>
      </c>
      <c r="I1039" s="36" t="s">
        <v>553</v>
      </c>
      <c r="J1039" s="36" t="s">
        <v>582</v>
      </c>
      <c r="K1039" s="36" t="s">
        <v>592</v>
      </c>
      <c r="L1039" s="37">
        <v>0</v>
      </c>
      <c r="M1039" s="271">
        <v>550000</v>
      </c>
      <c r="N1039" s="34"/>
      <c r="O1039" s="34"/>
      <c r="P1039" s="272" t="s">
        <v>1218</v>
      </c>
      <c r="R1039" s="281"/>
      <c r="S1039" s="283"/>
      <c r="T1039" s="281"/>
    </row>
    <row r="1040" spans="1:20" x14ac:dyDescent="0.25">
      <c r="A1040" s="270" t="s">
        <v>411</v>
      </c>
      <c r="B1040" s="31" t="s">
        <v>413</v>
      </c>
      <c r="C1040" s="31" t="s">
        <v>482</v>
      </c>
      <c r="D1040" s="31" t="s">
        <v>483</v>
      </c>
      <c r="E1040" s="31" t="s">
        <v>286</v>
      </c>
      <c r="F1040" s="35" t="s">
        <v>484</v>
      </c>
      <c r="G1040" s="33" t="s">
        <v>535</v>
      </c>
      <c r="H1040" s="33" t="s">
        <v>603</v>
      </c>
      <c r="I1040" s="36" t="s">
        <v>553</v>
      </c>
      <c r="J1040" s="36" t="s">
        <v>889</v>
      </c>
      <c r="K1040" s="36" t="s">
        <v>584</v>
      </c>
      <c r="L1040" s="37">
        <v>712000</v>
      </c>
      <c r="M1040" s="271">
        <v>714000</v>
      </c>
      <c r="N1040" s="34"/>
      <c r="O1040" s="34"/>
      <c r="P1040" s="272" t="s">
        <v>855</v>
      </c>
      <c r="R1040" s="281"/>
      <c r="S1040" s="283"/>
      <c r="T1040" s="281"/>
    </row>
    <row r="1041" spans="1:20" x14ac:dyDescent="0.25">
      <c r="A1041" s="270" t="s">
        <v>411</v>
      </c>
      <c r="B1041" s="31" t="s">
        <v>413</v>
      </c>
      <c r="C1041" s="31" t="s">
        <v>482</v>
      </c>
      <c r="D1041" s="31" t="s">
        <v>598</v>
      </c>
      <c r="E1041" s="31" t="s">
        <v>291</v>
      </c>
      <c r="F1041" s="35" t="s">
        <v>292</v>
      </c>
      <c r="G1041" s="33" t="s">
        <v>535</v>
      </c>
      <c r="H1041" s="33" t="s">
        <v>603</v>
      </c>
      <c r="I1041" s="36" t="s">
        <v>553</v>
      </c>
      <c r="J1041" s="36" t="s">
        <v>889</v>
      </c>
      <c r="K1041" s="36" t="s">
        <v>584</v>
      </c>
      <c r="L1041" s="37">
        <v>0</v>
      </c>
      <c r="M1041" s="271">
        <v>0</v>
      </c>
      <c r="N1041" s="34"/>
      <c r="O1041" s="34"/>
      <c r="P1041" s="272" t="s">
        <v>991</v>
      </c>
      <c r="R1041" s="281"/>
      <c r="S1041" s="283"/>
      <c r="T1041" s="281"/>
    </row>
    <row r="1042" spans="1:20" x14ac:dyDescent="0.25">
      <c r="A1042" s="270" t="s">
        <v>411</v>
      </c>
      <c r="B1042" s="31" t="s">
        <v>413</v>
      </c>
      <c r="C1042" s="31" t="s">
        <v>482</v>
      </c>
      <c r="D1042" s="31" t="s">
        <v>598</v>
      </c>
      <c r="E1042" s="31" t="s">
        <v>293</v>
      </c>
      <c r="F1042" s="35" t="s">
        <v>294</v>
      </c>
      <c r="G1042" s="33" t="s">
        <v>535</v>
      </c>
      <c r="H1042" s="33" t="s">
        <v>603</v>
      </c>
      <c r="I1042" s="36" t="s">
        <v>553</v>
      </c>
      <c r="J1042" s="36" t="s">
        <v>889</v>
      </c>
      <c r="K1042" s="36" t="s">
        <v>584</v>
      </c>
      <c r="L1042" s="37">
        <v>150000</v>
      </c>
      <c r="M1042" s="271">
        <v>150000</v>
      </c>
      <c r="N1042" s="34"/>
      <c r="O1042" s="34"/>
      <c r="P1042" s="272" t="s">
        <v>1333</v>
      </c>
      <c r="R1042" s="281"/>
      <c r="S1042" s="283"/>
      <c r="T1042" s="281"/>
    </row>
    <row r="1043" spans="1:20" x14ac:dyDescent="0.25">
      <c r="A1043" s="270" t="s">
        <v>411</v>
      </c>
      <c r="B1043" s="31" t="s">
        <v>413</v>
      </c>
      <c r="C1043" s="31" t="s">
        <v>482</v>
      </c>
      <c r="D1043" s="31" t="s">
        <v>598</v>
      </c>
      <c r="E1043" s="31" t="s">
        <v>293</v>
      </c>
      <c r="F1043" s="35" t="s">
        <v>294</v>
      </c>
      <c r="G1043" s="33" t="s">
        <v>535</v>
      </c>
      <c r="H1043" s="33" t="s">
        <v>603</v>
      </c>
      <c r="I1043" s="36" t="s">
        <v>553</v>
      </c>
      <c r="J1043" s="36" t="s">
        <v>889</v>
      </c>
      <c r="K1043" s="36" t="s">
        <v>584</v>
      </c>
      <c r="L1043" s="37">
        <v>340000</v>
      </c>
      <c r="M1043" s="271">
        <v>340000</v>
      </c>
      <c r="N1043" s="34"/>
      <c r="O1043" s="34"/>
      <c r="P1043" s="272" t="s">
        <v>1335</v>
      </c>
      <c r="R1043" s="281"/>
      <c r="S1043" s="283"/>
      <c r="T1043" s="281"/>
    </row>
    <row r="1044" spans="1:20" x14ac:dyDescent="0.25">
      <c r="A1044" s="270" t="s">
        <v>411</v>
      </c>
      <c r="B1044" s="31" t="s">
        <v>413</v>
      </c>
      <c r="C1044" s="31" t="s">
        <v>482</v>
      </c>
      <c r="D1044" s="31" t="s">
        <v>598</v>
      </c>
      <c r="E1044" s="31" t="s">
        <v>293</v>
      </c>
      <c r="F1044" s="35" t="s">
        <v>294</v>
      </c>
      <c r="G1044" s="33" t="s">
        <v>535</v>
      </c>
      <c r="H1044" s="33" t="s">
        <v>603</v>
      </c>
      <c r="I1044" s="36" t="s">
        <v>553</v>
      </c>
      <c r="J1044" s="36" t="s">
        <v>889</v>
      </c>
      <c r="K1044" s="36" t="s">
        <v>584</v>
      </c>
      <c r="L1044" s="37">
        <v>100000</v>
      </c>
      <c r="M1044" s="271">
        <v>100000</v>
      </c>
      <c r="N1044" s="34"/>
      <c r="O1044" s="34"/>
      <c r="P1044" s="272" t="s">
        <v>1336</v>
      </c>
      <c r="R1044" s="281"/>
      <c r="S1044" s="283"/>
      <c r="T1044" s="281"/>
    </row>
    <row r="1045" spans="1:20" x14ac:dyDescent="0.25">
      <c r="A1045" s="270" t="s">
        <v>411</v>
      </c>
      <c r="B1045" s="31" t="s">
        <v>413</v>
      </c>
      <c r="C1045" s="31" t="s">
        <v>482</v>
      </c>
      <c r="D1045" s="31" t="s">
        <v>598</v>
      </c>
      <c r="E1045" s="31" t="s">
        <v>293</v>
      </c>
      <c r="F1045" s="35" t="s">
        <v>294</v>
      </c>
      <c r="G1045" s="33" t="s">
        <v>535</v>
      </c>
      <c r="H1045" s="33" t="s">
        <v>603</v>
      </c>
      <c r="I1045" s="36" t="s">
        <v>553</v>
      </c>
      <c r="J1045" s="36" t="s">
        <v>889</v>
      </c>
      <c r="K1045" s="36" t="s">
        <v>584</v>
      </c>
      <c r="L1045" s="37">
        <v>100000</v>
      </c>
      <c r="M1045" s="271">
        <v>100000</v>
      </c>
      <c r="N1045" s="34"/>
      <c r="O1045" s="34"/>
      <c r="P1045" s="272" t="s">
        <v>887</v>
      </c>
      <c r="R1045" s="281"/>
      <c r="S1045" s="283"/>
      <c r="T1045" s="281"/>
    </row>
    <row r="1046" spans="1:20" x14ac:dyDescent="0.25">
      <c r="A1046" s="270" t="s">
        <v>411</v>
      </c>
      <c r="B1046" s="31" t="s">
        <v>413</v>
      </c>
      <c r="C1046" s="31" t="s">
        <v>482</v>
      </c>
      <c r="D1046" s="31" t="s">
        <v>598</v>
      </c>
      <c r="E1046" s="31" t="s">
        <v>293</v>
      </c>
      <c r="F1046" s="35" t="s">
        <v>294</v>
      </c>
      <c r="G1046" s="33" t="s">
        <v>535</v>
      </c>
      <c r="H1046" s="33" t="s">
        <v>603</v>
      </c>
      <c r="I1046" s="36" t="s">
        <v>553</v>
      </c>
      <c r="J1046" s="36" t="s">
        <v>889</v>
      </c>
      <c r="K1046" s="36" t="s">
        <v>584</v>
      </c>
      <c r="L1046" s="37">
        <v>200000</v>
      </c>
      <c r="M1046" s="271">
        <v>200000</v>
      </c>
      <c r="N1046" s="34"/>
      <c r="O1046" s="34"/>
      <c r="P1046" s="272" t="s">
        <v>888</v>
      </c>
      <c r="R1046" s="281"/>
      <c r="S1046" s="283"/>
      <c r="T1046" s="281"/>
    </row>
    <row r="1047" spans="1:20" x14ac:dyDescent="0.25">
      <c r="A1047" s="270" t="s">
        <v>411</v>
      </c>
      <c r="B1047" s="31" t="s">
        <v>413</v>
      </c>
      <c r="C1047" s="31" t="s">
        <v>482</v>
      </c>
      <c r="D1047" s="31" t="s">
        <v>598</v>
      </c>
      <c r="E1047" s="31" t="s">
        <v>298</v>
      </c>
      <c r="F1047" s="35" t="s">
        <v>485</v>
      </c>
      <c r="G1047" s="33" t="s">
        <v>520</v>
      </c>
      <c r="H1047" s="33" t="s">
        <v>603</v>
      </c>
      <c r="I1047" s="36" t="s">
        <v>553</v>
      </c>
      <c r="J1047" s="36" t="s">
        <v>881</v>
      </c>
      <c r="K1047" s="36" t="s">
        <v>903</v>
      </c>
      <c r="L1047" s="37">
        <v>1295422</v>
      </c>
      <c r="M1047" s="271">
        <v>1300000</v>
      </c>
      <c r="N1047" s="34" t="s">
        <v>514</v>
      </c>
      <c r="O1047" s="34" t="s">
        <v>924</v>
      </c>
      <c r="P1047" s="272" t="s">
        <v>925</v>
      </c>
      <c r="R1047" s="281"/>
      <c r="S1047" s="283"/>
      <c r="T1047" s="281"/>
    </row>
    <row r="1048" spans="1:20" x14ac:dyDescent="0.25">
      <c r="A1048" s="270" t="s">
        <v>411</v>
      </c>
      <c r="B1048" s="31" t="s">
        <v>413</v>
      </c>
      <c r="C1048" s="31" t="s">
        <v>482</v>
      </c>
      <c r="D1048" s="31" t="s">
        <v>598</v>
      </c>
      <c r="E1048" s="31" t="s">
        <v>298</v>
      </c>
      <c r="F1048" s="35" t="s">
        <v>485</v>
      </c>
      <c r="G1048" s="33" t="s">
        <v>520</v>
      </c>
      <c r="H1048" s="33" t="s">
        <v>603</v>
      </c>
      <c r="I1048" s="36" t="s">
        <v>553</v>
      </c>
      <c r="J1048" s="36" t="s">
        <v>881</v>
      </c>
      <c r="K1048" s="36" t="s">
        <v>903</v>
      </c>
      <c r="L1048" s="37">
        <v>150000</v>
      </c>
      <c r="M1048" s="271">
        <v>150000</v>
      </c>
      <c r="N1048" s="34"/>
      <c r="O1048" s="34" t="s">
        <v>979</v>
      </c>
      <c r="P1048" s="272" t="s">
        <v>990</v>
      </c>
      <c r="R1048" s="281"/>
      <c r="S1048" s="283"/>
      <c r="T1048" s="281"/>
    </row>
    <row r="1049" spans="1:20" x14ac:dyDescent="0.25">
      <c r="A1049" s="270" t="s">
        <v>411</v>
      </c>
      <c r="B1049" s="31" t="s">
        <v>413</v>
      </c>
      <c r="C1049" s="31" t="s">
        <v>482</v>
      </c>
      <c r="D1049" s="31" t="s">
        <v>598</v>
      </c>
      <c r="E1049" s="31" t="s">
        <v>299</v>
      </c>
      <c r="F1049" s="32" t="s">
        <v>393</v>
      </c>
      <c r="G1049" s="33" t="s">
        <v>926</v>
      </c>
      <c r="H1049" s="33" t="s">
        <v>603</v>
      </c>
      <c r="I1049" s="36" t="s">
        <v>553</v>
      </c>
      <c r="J1049" s="36" t="s">
        <v>889</v>
      </c>
      <c r="K1049" s="36" t="s">
        <v>584</v>
      </c>
      <c r="L1049" s="37">
        <v>600</v>
      </c>
      <c r="M1049" s="271">
        <v>1000</v>
      </c>
      <c r="N1049" s="34"/>
      <c r="O1049" s="34" t="s">
        <v>979</v>
      </c>
      <c r="P1049" s="272" t="s">
        <v>992</v>
      </c>
      <c r="R1049" s="281"/>
      <c r="S1049" s="283"/>
      <c r="T1049" s="281"/>
    </row>
    <row r="1050" spans="1:20" x14ac:dyDescent="0.25">
      <c r="A1050" s="270" t="s">
        <v>411</v>
      </c>
      <c r="B1050" s="31" t="s">
        <v>413</v>
      </c>
      <c r="C1050" s="31" t="s">
        <v>486</v>
      </c>
      <c r="D1050" s="31" t="s">
        <v>487</v>
      </c>
      <c r="E1050" s="31" t="s">
        <v>329</v>
      </c>
      <c r="F1050" s="32" t="s">
        <v>561</v>
      </c>
      <c r="G1050" s="33" t="s">
        <v>596</v>
      </c>
      <c r="H1050" s="33" t="s">
        <v>603</v>
      </c>
      <c r="I1050" s="36" t="s">
        <v>555</v>
      </c>
      <c r="J1050" s="36" t="s">
        <v>578</v>
      </c>
      <c r="K1050" s="36" t="s">
        <v>559</v>
      </c>
      <c r="L1050" s="37">
        <v>16212000</v>
      </c>
      <c r="M1050" s="271">
        <v>16212000</v>
      </c>
      <c r="N1050" s="34" t="s">
        <v>970</v>
      </c>
      <c r="O1050" s="34" t="s">
        <v>971</v>
      </c>
      <c r="P1050" s="272" t="s">
        <v>972</v>
      </c>
      <c r="R1050" s="281"/>
      <c r="S1050" s="283"/>
      <c r="T1050" s="281"/>
    </row>
    <row r="1051" spans="1:20" x14ac:dyDescent="0.25">
      <c r="A1051" s="284" t="s">
        <v>411</v>
      </c>
      <c r="B1051" s="285" t="s">
        <v>413</v>
      </c>
      <c r="C1051" s="285" t="s">
        <v>486</v>
      </c>
      <c r="D1051" s="285" t="s">
        <v>487</v>
      </c>
      <c r="E1051" s="285" t="s">
        <v>329</v>
      </c>
      <c r="F1051" s="286" t="s">
        <v>561</v>
      </c>
      <c r="G1051" s="287" t="s">
        <v>596</v>
      </c>
      <c r="H1051" s="33" t="s">
        <v>603</v>
      </c>
      <c r="I1051" s="288" t="s">
        <v>555</v>
      </c>
      <c r="J1051" s="288" t="s">
        <v>578</v>
      </c>
      <c r="K1051" s="288" t="s">
        <v>560</v>
      </c>
      <c r="L1051" s="37">
        <v>4053000</v>
      </c>
      <c r="M1051" s="271">
        <v>4053000</v>
      </c>
      <c r="N1051" s="34" t="s">
        <v>970</v>
      </c>
      <c r="O1051" s="34" t="s">
        <v>971</v>
      </c>
      <c r="P1051" s="272" t="s">
        <v>972</v>
      </c>
      <c r="R1051" s="281"/>
      <c r="S1051" s="283"/>
      <c r="T1051" s="281"/>
    </row>
    <row r="1052" spans="1:20" x14ac:dyDescent="0.25">
      <c r="G1052" s="304"/>
      <c r="M1052" s="305"/>
      <c r="R1052" s="281"/>
      <c r="S1052" s="283"/>
      <c r="T1052" s="281"/>
    </row>
    <row r="1053" spans="1:20" x14ac:dyDescent="0.25">
      <c r="G1053" s="281"/>
      <c r="L1053" s="306"/>
      <c r="R1053" s="281"/>
      <c r="S1053" s="283"/>
      <c r="T1053" s="281"/>
    </row>
    <row r="1054" spans="1:20" x14ac:dyDescent="0.25">
      <c r="G1054" s="281"/>
      <c r="M1054" s="306"/>
      <c r="R1054" s="281"/>
      <c r="S1054" s="283"/>
      <c r="T1054" s="281"/>
    </row>
    <row r="1055" spans="1:20" x14ac:dyDescent="0.25">
      <c r="G1055" s="281"/>
      <c r="M1055" s="306"/>
      <c r="R1055" s="281"/>
      <c r="S1055" s="283"/>
      <c r="T1055" s="281"/>
    </row>
    <row r="1056" spans="1:20" x14ac:dyDescent="0.25">
      <c r="G1056" s="281"/>
      <c r="M1056" s="306"/>
      <c r="N1056" s="281"/>
      <c r="R1056" s="281"/>
      <c r="S1056" s="283"/>
      <c r="T1056" s="281"/>
    </row>
    <row r="1057" spans="7:20" x14ac:dyDescent="0.25">
      <c r="G1057" s="281"/>
      <c r="M1057" s="306"/>
      <c r="N1057" s="281"/>
      <c r="O1057" s="306"/>
      <c r="P1057" s="305"/>
      <c r="R1057" s="281"/>
      <c r="S1057" s="283"/>
      <c r="T1057" s="281"/>
    </row>
    <row r="1058" spans="7:20" x14ac:dyDescent="0.25">
      <c r="G1058" s="281"/>
      <c r="M1058" s="306"/>
      <c r="N1058" s="281"/>
      <c r="O1058" s="281"/>
      <c r="R1058" s="281"/>
      <c r="S1058" s="283"/>
      <c r="T1058" s="281"/>
    </row>
    <row r="1059" spans="7:20" x14ac:dyDescent="0.25">
      <c r="G1059" s="281"/>
      <c r="M1059" s="306"/>
      <c r="O1059" s="290"/>
    </row>
    <row r="1060" spans="7:20" x14ac:dyDescent="0.25">
      <c r="G1060" s="280"/>
      <c r="L1060" s="281"/>
      <c r="M1060" s="306"/>
    </row>
    <row r="1061" spans="7:20" x14ac:dyDescent="0.25">
      <c r="L1061" s="281"/>
      <c r="M1061" s="306"/>
      <c r="O1061" s="307"/>
    </row>
    <row r="1062" spans="7:20" x14ac:dyDescent="0.25">
      <c r="L1062" s="281"/>
      <c r="M1062" s="306"/>
      <c r="O1062" s="308"/>
      <c r="P1062" s="305"/>
    </row>
    <row r="1063" spans="7:20" x14ac:dyDescent="0.25">
      <c r="L1063" s="281"/>
      <c r="M1063" s="306"/>
      <c r="O1063" s="309"/>
    </row>
    <row r="1064" spans="7:20" x14ac:dyDescent="0.25">
      <c r="J1064" s="310"/>
      <c r="L1064" s="281"/>
      <c r="M1064" s="306"/>
      <c r="O1064" s="311"/>
    </row>
    <row r="1065" spans="7:20" x14ac:dyDescent="0.25">
      <c r="L1065" s="281"/>
      <c r="M1065" s="281"/>
      <c r="O1065" s="309"/>
    </row>
    <row r="1066" spans="7:20" x14ac:dyDescent="0.25">
      <c r="M1066" s="281"/>
      <c r="O1066" s="307"/>
    </row>
    <row r="1067" spans="7:20" x14ac:dyDescent="0.25">
      <c r="M1067" s="281"/>
      <c r="O1067" s="308"/>
      <c r="P1067" s="305"/>
    </row>
    <row r="1068" spans="7:20" x14ac:dyDescent="0.25">
      <c r="M1068" s="281"/>
      <c r="O1068" s="309"/>
    </row>
    <row r="1069" spans="7:20" x14ac:dyDescent="0.25">
      <c r="M1069" s="281"/>
      <c r="O1069" s="311"/>
    </row>
    <row r="1070" spans="7:20" x14ac:dyDescent="0.25">
      <c r="M1070" s="281"/>
    </row>
    <row r="1071" spans="7:20" x14ac:dyDescent="0.25">
      <c r="M1071" s="281"/>
      <c r="O1071" s="307"/>
    </row>
    <row r="1072" spans="7:20" x14ac:dyDescent="0.25">
      <c r="M1072" s="281"/>
      <c r="O1072" s="308"/>
      <c r="P1072" s="305"/>
    </row>
    <row r="1073" spans="13:16" x14ac:dyDescent="0.25">
      <c r="M1073" s="281"/>
      <c r="O1073" s="309"/>
    </row>
    <row r="1074" spans="13:16" x14ac:dyDescent="0.25">
      <c r="M1074" s="281"/>
      <c r="O1074" s="311"/>
    </row>
    <row r="1075" spans="13:16" x14ac:dyDescent="0.25">
      <c r="M1075" s="281"/>
    </row>
    <row r="1076" spans="13:16" x14ac:dyDescent="0.25">
      <c r="M1076" s="281"/>
      <c r="O1076" s="307"/>
    </row>
    <row r="1077" spans="13:16" x14ac:dyDescent="0.25">
      <c r="M1077" s="281"/>
      <c r="O1077" s="308"/>
      <c r="P1077" s="305"/>
    </row>
    <row r="1078" spans="13:16" x14ac:dyDescent="0.25">
      <c r="M1078" s="281"/>
      <c r="O1078" s="309"/>
    </row>
    <row r="1079" spans="13:16" x14ac:dyDescent="0.25">
      <c r="M1079" s="281"/>
      <c r="O1079" s="311"/>
    </row>
    <row r="1080" spans="13:16" x14ac:dyDescent="0.25">
      <c r="M1080" s="281"/>
    </row>
    <row r="1081" spans="13:16" x14ac:dyDescent="0.25">
      <c r="M1081" s="281"/>
      <c r="O1081" s="312"/>
    </row>
    <row r="1082" spans="13:16" x14ac:dyDescent="0.25">
      <c r="M1082" s="281"/>
      <c r="O1082" s="313"/>
    </row>
    <row r="1083" spans="13:16" x14ac:dyDescent="0.25">
      <c r="M1083" s="281"/>
    </row>
    <row r="1084" spans="13:16" x14ac:dyDescent="0.25">
      <c r="M1084" s="281"/>
    </row>
    <row r="1085" spans="13:16" x14ac:dyDescent="0.25">
      <c r="M1085" s="281"/>
    </row>
    <row r="1086" spans="13:16" x14ac:dyDescent="0.25">
      <c r="M1086" s="281"/>
    </row>
    <row r="1087" spans="13:16" x14ac:dyDescent="0.25">
      <c r="M1087" s="281"/>
    </row>
    <row r="1088" spans="13:16" x14ac:dyDescent="0.25">
      <c r="M1088" s="281"/>
    </row>
    <row r="1089" spans="13:13" x14ac:dyDescent="0.25">
      <c r="M1089" s="281"/>
    </row>
    <row r="1090" spans="13:13" x14ac:dyDescent="0.25">
      <c r="M1090" s="281"/>
    </row>
    <row r="1091" spans="13:13" x14ac:dyDescent="0.25">
      <c r="M1091" s="281"/>
    </row>
    <row r="1092" spans="13:13" x14ac:dyDescent="0.25">
      <c r="M1092" s="281"/>
    </row>
    <row r="1093" spans="13:13" x14ac:dyDescent="0.25">
      <c r="M1093" s="281"/>
    </row>
    <row r="1094" spans="13:13" x14ac:dyDescent="0.25">
      <c r="M1094" s="281"/>
    </row>
    <row r="1095" spans="13:13" x14ac:dyDescent="0.25">
      <c r="M1095" s="281"/>
    </row>
    <row r="1096" spans="13:13" x14ac:dyDescent="0.25">
      <c r="M1096" s="281"/>
    </row>
    <row r="1097" spans="13:13" x14ac:dyDescent="0.25">
      <c r="M1097" s="281"/>
    </row>
    <row r="1098" spans="13:13" x14ac:dyDescent="0.25">
      <c r="M1098" s="281"/>
    </row>
    <row r="1099" spans="13:13" x14ac:dyDescent="0.25">
      <c r="M1099" s="281"/>
    </row>
    <row r="1100" spans="13:13" x14ac:dyDescent="0.25">
      <c r="M1100" s="281"/>
    </row>
    <row r="1101" spans="13:13" x14ac:dyDescent="0.25">
      <c r="M1101" s="281"/>
    </row>
    <row r="1102" spans="13:13" x14ac:dyDescent="0.25">
      <c r="M1102" s="281"/>
    </row>
    <row r="1103" spans="13:13" x14ac:dyDescent="0.25">
      <c r="M1103" s="281"/>
    </row>
    <row r="1104" spans="13:13" x14ac:dyDescent="0.25">
      <c r="M1104" s="281"/>
    </row>
    <row r="1105" spans="13:13" x14ac:dyDescent="0.25">
      <c r="M1105" s="281"/>
    </row>
    <row r="1106" spans="13:13" x14ac:dyDescent="0.25">
      <c r="M1106" s="281"/>
    </row>
    <row r="1107" spans="13:13" x14ac:dyDescent="0.25">
      <c r="M1107" s="281"/>
    </row>
    <row r="1108" spans="13:13" x14ac:dyDescent="0.25">
      <c r="M1108" s="281"/>
    </row>
    <row r="1109" spans="13:13" x14ac:dyDescent="0.25">
      <c r="M1109" s="281"/>
    </row>
    <row r="1110" spans="13:13" x14ac:dyDescent="0.25">
      <c r="M1110" s="281"/>
    </row>
    <row r="1111" spans="13:13" x14ac:dyDescent="0.25">
      <c r="M1111" s="281"/>
    </row>
    <row r="1112" spans="13:13" x14ac:dyDescent="0.25">
      <c r="M1112" s="281"/>
    </row>
    <row r="1113" spans="13:13" x14ac:dyDescent="0.25">
      <c r="M1113" s="281"/>
    </row>
    <row r="1114" spans="13:13" x14ac:dyDescent="0.25">
      <c r="M1114" s="281"/>
    </row>
    <row r="1115" spans="13:13" x14ac:dyDescent="0.25">
      <c r="M1115" s="281"/>
    </row>
    <row r="1116" spans="13:13" x14ac:dyDescent="0.25">
      <c r="M1116" s="281"/>
    </row>
    <row r="1117" spans="13:13" x14ac:dyDescent="0.25">
      <c r="M1117" s="281"/>
    </row>
    <row r="1118" spans="13:13" x14ac:dyDescent="0.25">
      <c r="M1118" s="281"/>
    </row>
    <row r="1119" spans="13:13" x14ac:dyDescent="0.25">
      <c r="M1119" s="281"/>
    </row>
    <row r="1120" spans="13:13" x14ac:dyDescent="0.25">
      <c r="M1120" s="281"/>
    </row>
    <row r="1121" spans="13:13" x14ac:dyDescent="0.25">
      <c r="M1121" s="281"/>
    </row>
    <row r="1122" spans="13:13" x14ac:dyDescent="0.25">
      <c r="M1122" s="281"/>
    </row>
    <row r="1123" spans="13:13" x14ac:dyDescent="0.25">
      <c r="M1123" s="281"/>
    </row>
    <row r="1124" spans="13:13" x14ac:dyDescent="0.25">
      <c r="M1124" s="281"/>
    </row>
    <row r="1125" spans="13:13" x14ac:dyDescent="0.25">
      <c r="M1125" s="281"/>
    </row>
    <row r="1126" spans="13:13" x14ac:dyDescent="0.25">
      <c r="M1126" s="281"/>
    </row>
    <row r="1127" spans="13:13" x14ac:dyDescent="0.25">
      <c r="M1127" s="281"/>
    </row>
    <row r="1128" spans="13:13" x14ac:dyDescent="0.25">
      <c r="M1128" s="281"/>
    </row>
    <row r="1129" spans="13:13" x14ac:dyDescent="0.25">
      <c r="M1129" s="281"/>
    </row>
    <row r="1130" spans="13:13" x14ac:dyDescent="0.25">
      <c r="M1130" s="281"/>
    </row>
    <row r="1131" spans="13:13" x14ac:dyDescent="0.25">
      <c r="M1131" s="281"/>
    </row>
    <row r="1132" spans="13:13" x14ac:dyDescent="0.25">
      <c r="M1132" s="281"/>
    </row>
    <row r="1133" spans="13:13" x14ac:dyDescent="0.25">
      <c r="M1133" s="281"/>
    </row>
    <row r="1134" spans="13:13" x14ac:dyDescent="0.25">
      <c r="M1134" s="281"/>
    </row>
    <row r="1135" spans="13:13" x14ac:dyDescent="0.25">
      <c r="M1135" s="281"/>
    </row>
    <row r="1136" spans="13:13" x14ac:dyDescent="0.25">
      <c r="M1136" s="281"/>
    </row>
    <row r="1137" spans="13:13" x14ac:dyDescent="0.25">
      <c r="M1137" s="281"/>
    </row>
    <row r="1138" spans="13:13" x14ac:dyDescent="0.25">
      <c r="M1138" s="281"/>
    </row>
    <row r="1139" spans="13:13" x14ac:dyDescent="0.25">
      <c r="M1139" s="281"/>
    </row>
    <row r="1140" spans="13:13" x14ac:dyDescent="0.25">
      <c r="M1140" s="281"/>
    </row>
    <row r="1141" spans="13:13" x14ac:dyDescent="0.25">
      <c r="M1141" s="281"/>
    </row>
    <row r="1142" spans="13:13" x14ac:dyDescent="0.25">
      <c r="M1142" s="281"/>
    </row>
    <row r="1143" spans="13:13" x14ac:dyDescent="0.25">
      <c r="M1143" s="281"/>
    </row>
    <row r="1144" spans="13:13" x14ac:dyDescent="0.25">
      <c r="M1144" s="281"/>
    </row>
    <row r="1145" spans="13:13" x14ac:dyDescent="0.25">
      <c r="M1145" s="281"/>
    </row>
    <row r="1146" spans="13:13" x14ac:dyDescent="0.25">
      <c r="M1146" s="281"/>
    </row>
    <row r="1147" spans="13:13" x14ac:dyDescent="0.25">
      <c r="M1147" s="281"/>
    </row>
    <row r="1148" spans="13:13" x14ac:dyDescent="0.25">
      <c r="M1148" s="281"/>
    </row>
    <row r="1149" spans="13:13" x14ac:dyDescent="0.25">
      <c r="M1149" s="281"/>
    </row>
    <row r="1150" spans="13:13" x14ac:dyDescent="0.25">
      <c r="M1150" s="281"/>
    </row>
    <row r="1151" spans="13:13" x14ac:dyDescent="0.25">
      <c r="M1151" s="281"/>
    </row>
    <row r="1152" spans="13:13" x14ac:dyDescent="0.25">
      <c r="M1152" s="281"/>
    </row>
    <row r="1153" spans="13:13" x14ac:dyDescent="0.25">
      <c r="M1153" s="281"/>
    </row>
    <row r="1154" spans="13:13" x14ac:dyDescent="0.25">
      <c r="M1154" s="281"/>
    </row>
    <row r="1155" spans="13:13" x14ac:dyDescent="0.25">
      <c r="M1155" s="281"/>
    </row>
    <row r="1156" spans="13:13" x14ac:dyDescent="0.25">
      <c r="M1156" s="281"/>
    </row>
    <row r="1157" spans="13:13" x14ac:dyDescent="0.25">
      <c r="M1157" s="281"/>
    </row>
    <row r="1158" spans="13:13" x14ac:dyDescent="0.25">
      <c r="M1158" s="281"/>
    </row>
    <row r="1159" spans="13:13" x14ac:dyDescent="0.25">
      <c r="M1159" s="281"/>
    </row>
    <row r="1160" spans="13:13" x14ac:dyDescent="0.25">
      <c r="M1160" s="281"/>
    </row>
    <row r="1161" spans="13:13" x14ac:dyDescent="0.25">
      <c r="M1161" s="281"/>
    </row>
    <row r="1162" spans="13:13" x14ac:dyDescent="0.25">
      <c r="M1162" s="281"/>
    </row>
    <row r="1163" spans="13:13" x14ac:dyDescent="0.25">
      <c r="M1163" s="281"/>
    </row>
    <row r="1164" spans="13:13" x14ac:dyDescent="0.25">
      <c r="M1164" s="281"/>
    </row>
    <row r="1165" spans="13:13" x14ac:dyDescent="0.25">
      <c r="M1165" s="281"/>
    </row>
    <row r="1166" spans="13:13" x14ac:dyDescent="0.25">
      <c r="M1166" s="281"/>
    </row>
    <row r="1167" spans="13:13" x14ac:dyDescent="0.25">
      <c r="M1167" s="281"/>
    </row>
    <row r="1168" spans="13:13" x14ac:dyDescent="0.25">
      <c r="M1168" s="281"/>
    </row>
    <row r="1169" spans="13:13" x14ac:dyDescent="0.25">
      <c r="M1169" s="281"/>
    </row>
    <row r="1170" spans="13:13" x14ac:dyDescent="0.25">
      <c r="M1170" s="281"/>
    </row>
    <row r="1171" spans="13:13" x14ac:dyDescent="0.25">
      <c r="M1171" s="281"/>
    </row>
    <row r="1172" spans="13:13" x14ac:dyDescent="0.25">
      <c r="M1172" s="281"/>
    </row>
    <row r="1173" spans="13:13" x14ac:dyDescent="0.25">
      <c r="M1173" s="281"/>
    </row>
    <row r="1174" spans="13:13" x14ac:dyDescent="0.25">
      <c r="M1174" s="281"/>
    </row>
    <row r="1175" spans="13:13" x14ac:dyDescent="0.25">
      <c r="M1175" s="281"/>
    </row>
    <row r="1176" spans="13:13" x14ac:dyDescent="0.25">
      <c r="M1176" s="281"/>
    </row>
    <row r="1177" spans="13:13" x14ac:dyDescent="0.25">
      <c r="M1177" s="281"/>
    </row>
    <row r="1178" spans="13:13" x14ac:dyDescent="0.25">
      <c r="M1178" s="281"/>
    </row>
    <row r="1179" spans="13:13" x14ac:dyDescent="0.25">
      <c r="M1179" s="281"/>
    </row>
    <row r="1180" spans="13:13" x14ac:dyDescent="0.25">
      <c r="M1180" s="281"/>
    </row>
    <row r="1181" spans="13:13" x14ac:dyDescent="0.25">
      <c r="M1181" s="281"/>
    </row>
    <row r="1182" spans="13:13" x14ac:dyDescent="0.25">
      <c r="M1182" s="281"/>
    </row>
    <row r="1183" spans="13:13" x14ac:dyDescent="0.25">
      <c r="M1183" s="281"/>
    </row>
    <row r="1184" spans="13:13" x14ac:dyDescent="0.25">
      <c r="M1184" s="281"/>
    </row>
  </sheetData>
  <phoneticPr fontId="21" type="noConversion"/>
  <pageMargins left="0.511811024" right="0.511811024" top="0.78740157499999996" bottom="0.78740157499999996" header="0.31496062000000002" footer="0.31496062000000002"/>
  <pageSetup paperSize="8" scale="2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L100"/>
  <sheetViews>
    <sheetView showGridLines="0" zoomScaleNormal="100" workbookViewId="0">
      <selection activeCell="A92" sqref="A92"/>
    </sheetView>
  </sheetViews>
  <sheetFormatPr defaultColWidth="9.140625" defaultRowHeight="12.75" x14ac:dyDescent="0.25"/>
  <cols>
    <col min="1" max="1" width="19.5703125" style="1" customWidth="1"/>
    <col min="2" max="2" width="48.5703125" style="1" bestFit="1" customWidth="1"/>
    <col min="3" max="4" width="14.7109375" style="1" customWidth="1"/>
    <col min="5" max="5" width="11.5703125" style="40" customWidth="1"/>
    <col min="6" max="6" width="14.7109375" style="15" customWidth="1"/>
    <col min="7" max="7" width="9.7109375" style="2" customWidth="1"/>
    <col min="8" max="8" width="5.28515625" style="1" customWidth="1"/>
    <col min="9" max="9" width="14" style="1" customWidth="1"/>
    <col min="10" max="10" width="14" style="1" bestFit="1" customWidth="1"/>
    <col min="11" max="11" width="9.140625" style="1"/>
    <col min="12" max="12" width="9.7109375" style="1" bestFit="1" customWidth="1"/>
    <col min="13" max="16384" width="9.140625" style="1"/>
  </cols>
  <sheetData>
    <row r="1" spans="1:12" ht="18" customHeight="1" x14ac:dyDescent="0.25">
      <c r="A1" s="9"/>
      <c r="B1" s="9"/>
      <c r="C1" s="9"/>
      <c r="D1" s="9"/>
      <c r="E1" s="9"/>
      <c r="F1" s="41"/>
      <c r="G1" s="42"/>
    </row>
    <row r="2" spans="1:12" ht="18" customHeight="1" x14ac:dyDescent="0.25">
      <c r="A2" s="9"/>
      <c r="B2" s="9"/>
      <c r="C2" s="9"/>
      <c r="D2" s="9"/>
      <c r="E2" s="9"/>
      <c r="F2" s="41"/>
      <c r="G2" s="42"/>
    </row>
    <row r="3" spans="1:12" ht="18" customHeight="1" x14ac:dyDescent="0.25">
      <c r="A3" s="9"/>
      <c r="B3" s="9"/>
      <c r="C3" s="9"/>
      <c r="D3" s="9"/>
      <c r="E3" s="9"/>
      <c r="F3" s="41"/>
      <c r="G3" s="42"/>
    </row>
    <row r="4" spans="1:12" ht="18" customHeight="1" x14ac:dyDescent="0.25">
      <c r="A4" s="315" t="s">
        <v>343</v>
      </c>
      <c r="B4" s="315"/>
      <c r="C4" s="315"/>
      <c r="D4" s="315"/>
      <c r="E4" s="315"/>
      <c r="F4" s="315"/>
      <c r="G4" s="315"/>
    </row>
    <row r="5" spans="1:12" ht="18" customHeight="1" x14ac:dyDescent="0.25">
      <c r="A5" s="315" t="s">
        <v>342</v>
      </c>
      <c r="B5" s="315"/>
      <c r="C5" s="315"/>
      <c r="D5" s="315"/>
      <c r="E5" s="315"/>
      <c r="F5" s="315"/>
      <c r="G5" s="315"/>
    </row>
    <row r="6" spans="1:12" ht="16.5" customHeight="1" x14ac:dyDescent="0.25">
      <c r="A6" s="316" t="s">
        <v>341</v>
      </c>
      <c r="B6" s="316"/>
      <c r="C6" s="316"/>
      <c r="D6" s="316"/>
      <c r="E6" s="316"/>
      <c r="F6" s="316"/>
      <c r="G6" s="316"/>
    </row>
    <row r="7" spans="1:12" ht="16.5" customHeight="1" x14ac:dyDescent="0.25">
      <c r="A7" s="317" t="s">
        <v>340</v>
      </c>
      <c r="B7" s="317"/>
      <c r="C7" s="317"/>
      <c r="D7" s="317"/>
      <c r="E7" s="317"/>
      <c r="F7" s="317"/>
      <c r="G7" s="317"/>
    </row>
    <row r="8" spans="1:12" ht="15.75" customHeight="1" x14ac:dyDescent="0.25">
      <c r="A8" s="317" t="s">
        <v>1339</v>
      </c>
      <c r="B8" s="317"/>
      <c r="C8" s="317"/>
      <c r="D8" s="317"/>
      <c r="E8" s="317"/>
      <c r="F8" s="317"/>
      <c r="G8" s="317"/>
      <c r="I8" s="8"/>
    </row>
    <row r="9" spans="1:12" s="29" customFormat="1" ht="48" x14ac:dyDescent="0.25">
      <c r="A9" s="180" t="s">
        <v>339</v>
      </c>
      <c r="B9" s="181" t="s">
        <v>338</v>
      </c>
      <c r="C9" s="195" t="s">
        <v>1340</v>
      </c>
      <c r="D9" s="89" t="s">
        <v>1342</v>
      </c>
      <c r="E9" s="205" t="s">
        <v>1343</v>
      </c>
      <c r="F9" s="198" t="s">
        <v>1344</v>
      </c>
      <c r="G9" s="206" t="s">
        <v>400</v>
      </c>
    </row>
    <row r="10" spans="1:12" s="5" customFormat="1" ht="24" customHeight="1" x14ac:dyDescent="0.25">
      <c r="A10" s="192" t="s">
        <v>0</v>
      </c>
      <c r="B10" s="25" t="s">
        <v>1</v>
      </c>
      <c r="C10" s="58">
        <f>C11+C79</f>
        <v>225000000</v>
      </c>
      <c r="D10" s="26">
        <f>D11+D79</f>
        <v>172123917.16</v>
      </c>
      <c r="E10" s="250">
        <f t="shared" ref="E10:E39" si="0">+D10/C10</f>
        <v>0.76499518737777772</v>
      </c>
      <c r="F10" s="47">
        <f>F11+F79</f>
        <v>304000000</v>
      </c>
      <c r="G10" s="255">
        <f t="shared" ref="G10:G73" si="1">F10/$F$10</f>
        <v>1</v>
      </c>
      <c r="H10" s="7"/>
      <c r="I10" s="7"/>
      <c r="J10" s="7"/>
    </row>
    <row r="11" spans="1:12" s="18" customFormat="1" ht="21.75" customHeight="1" x14ac:dyDescent="0.25">
      <c r="A11" s="44" t="s">
        <v>2</v>
      </c>
      <c r="B11" s="25" t="s">
        <v>1368</v>
      </c>
      <c r="C11" s="58">
        <f>C12+C40+C43+C58+C65+C67+C77</f>
        <v>224825000</v>
      </c>
      <c r="D11" s="26">
        <f>D12+D40+D43+D58+D65+D67+D77</f>
        <v>172034610.40000001</v>
      </c>
      <c r="E11" s="250">
        <f t="shared" si="0"/>
        <v>0.76519341888135217</v>
      </c>
      <c r="F11" s="47">
        <f>F12+F40+F43+F58+F65+F67+F77</f>
        <v>303810000</v>
      </c>
      <c r="G11" s="256">
        <f t="shared" si="1"/>
        <v>0.99937500000000001</v>
      </c>
      <c r="H11" s="17"/>
      <c r="I11" s="17"/>
      <c r="L11" s="17"/>
    </row>
    <row r="12" spans="1:12" s="5" customFormat="1" x14ac:dyDescent="0.25">
      <c r="A12" s="207" t="s">
        <v>3</v>
      </c>
      <c r="B12" s="81" t="s">
        <v>4</v>
      </c>
      <c r="C12" s="58">
        <f>SUM(C13:C39)</f>
        <v>195000000</v>
      </c>
      <c r="D12" s="26">
        <f>SUM(D13:D39)</f>
        <v>133723568.07999998</v>
      </c>
      <c r="E12" s="251">
        <f t="shared" si="0"/>
        <v>0.68576188758974355</v>
      </c>
      <c r="F12" s="47">
        <f>SUM(F13:F39)</f>
        <v>217750000</v>
      </c>
      <c r="G12" s="256">
        <f t="shared" si="1"/>
        <v>0.71628289473684215</v>
      </c>
    </row>
    <row r="13" spans="1:12" x14ac:dyDescent="0.25">
      <c r="A13" s="208" t="s">
        <v>5</v>
      </c>
      <c r="B13" s="82" t="s">
        <v>607</v>
      </c>
      <c r="C13" s="63">
        <v>550000</v>
      </c>
      <c r="D13" s="27">
        <v>345105.67</v>
      </c>
      <c r="E13" s="252">
        <f t="shared" si="0"/>
        <v>0.62746485454545453</v>
      </c>
      <c r="F13" s="157">
        <v>600000</v>
      </c>
      <c r="G13" s="257">
        <f t="shared" ref="G13" si="2">F13/$F$10</f>
        <v>1.9736842105263159E-3</v>
      </c>
      <c r="H13" s="6"/>
      <c r="I13" s="6"/>
      <c r="J13" s="6"/>
    </row>
    <row r="14" spans="1:12" x14ac:dyDescent="0.25">
      <c r="A14" s="208" t="s">
        <v>6</v>
      </c>
      <c r="B14" s="82" t="s">
        <v>608</v>
      </c>
      <c r="C14" s="63">
        <v>1500000</v>
      </c>
      <c r="D14" s="27">
        <v>1011196.39</v>
      </c>
      <c r="E14" s="252">
        <f t="shared" si="0"/>
        <v>0.67413092666666663</v>
      </c>
      <c r="F14" s="157">
        <v>1600000</v>
      </c>
      <c r="G14" s="257">
        <f t="shared" si="1"/>
        <v>5.263157894736842E-3</v>
      </c>
      <c r="H14" s="6"/>
      <c r="I14" s="6"/>
      <c r="J14" s="6"/>
    </row>
    <row r="15" spans="1:12" x14ac:dyDescent="0.25">
      <c r="A15" s="208" t="s">
        <v>7</v>
      </c>
      <c r="B15" s="82" t="s">
        <v>609</v>
      </c>
      <c r="C15" s="63">
        <v>2300000</v>
      </c>
      <c r="D15" s="27">
        <v>1539801.6</v>
      </c>
      <c r="E15" s="252">
        <f t="shared" si="0"/>
        <v>0.66947895652173917</v>
      </c>
      <c r="F15" s="157">
        <v>2500000</v>
      </c>
      <c r="G15" s="257">
        <f t="shared" si="1"/>
        <v>8.2236842105263153E-3</v>
      </c>
      <c r="H15" s="6"/>
      <c r="I15" s="6"/>
      <c r="J15" s="6"/>
    </row>
    <row r="16" spans="1:12" x14ac:dyDescent="0.25">
      <c r="A16" s="208" t="s">
        <v>8</v>
      </c>
      <c r="B16" s="82" t="s">
        <v>610</v>
      </c>
      <c r="C16" s="63">
        <v>500000</v>
      </c>
      <c r="D16" s="27">
        <v>360225.76</v>
      </c>
      <c r="E16" s="252">
        <f t="shared" si="0"/>
        <v>0.72045152000000001</v>
      </c>
      <c r="F16" s="157">
        <v>650000</v>
      </c>
      <c r="G16" s="257">
        <f t="shared" si="1"/>
        <v>2.1381578947368422E-3</v>
      </c>
      <c r="H16" s="6"/>
      <c r="I16" s="6"/>
      <c r="J16" s="6"/>
    </row>
    <row r="17" spans="1:10" x14ac:dyDescent="0.25">
      <c r="A17" s="208" t="s">
        <v>9</v>
      </c>
      <c r="B17" s="82" t="s">
        <v>611</v>
      </c>
      <c r="C17" s="63">
        <v>8400000</v>
      </c>
      <c r="D17" s="27">
        <v>5809930.2699999996</v>
      </c>
      <c r="E17" s="252">
        <f t="shared" si="0"/>
        <v>0.69165836547619042</v>
      </c>
      <c r="F17" s="157">
        <v>9550000</v>
      </c>
      <c r="G17" s="257">
        <f t="shared" si="1"/>
        <v>3.1414473684210527E-2</v>
      </c>
      <c r="H17" s="6"/>
      <c r="I17" s="6"/>
      <c r="J17" s="6"/>
    </row>
    <row r="18" spans="1:10" x14ac:dyDescent="0.25">
      <c r="A18" s="208" t="s">
        <v>10</v>
      </c>
      <c r="B18" s="82" t="s">
        <v>612</v>
      </c>
      <c r="C18" s="63">
        <v>5100000</v>
      </c>
      <c r="D18" s="27">
        <v>3150644.78</v>
      </c>
      <c r="E18" s="252">
        <f t="shared" si="0"/>
        <v>0.61777348627450979</v>
      </c>
      <c r="F18" s="157">
        <v>5500000</v>
      </c>
      <c r="G18" s="257">
        <f t="shared" si="1"/>
        <v>1.8092105263157895E-2</v>
      </c>
      <c r="H18" s="6"/>
      <c r="I18" s="6"/>
      <c r="J18" s="6"/>
    </row>
    <row r="19" spans="1:10" x14ac:dyDescent="0.25">
      <c r="A19" s="208" t="s">
        <v>11</v>
      </c>
      <c r="B19" s="82" t="s">
        <v>613</v>
      </c>
      <c r="C19" s="63">
        <v>3500000</v>
      </c>
      <c r="D19" s="27">
        <v>2483323.64</v>
      </c>
      <c r="E19" s="252">
        <f t="shared" si="0"/>
        <v>0.70952104000000005</v>
      </c>
      <c r="F19" s="157">
        <v>4000000</v>
      </c>
      <c r="G19" s="257">
        <f t="shared" si="1"/>
        <v>1.3157894736842105E-2</v>
      </c>
      <c r="H19" s="6"/>
      <c r="I19" s="6"/>
      <c r="J19" s="6"/>
    </row>
    <row r="20" spans="1:10" x14ac:dyDescent="0.25">
      <c r="A20" s="208" t="s">
        <v>12</v>
      </c>
      <c r="B20" s="82" t="s">
        <v>614</v>
      </c>
      <c r="C20" s="63">
        <v>4900000</v>
      </c>
      <c r="D20" s="27">
        <v>3472342.27</v>
      </c>
      <c r="E20" s="252">
        <f t="shared" si="0"/>
        <v>0.70864127959183676</v>
      </c>
      <c r="F20" s="157">
        <v>5400000</v>
      </c>
      <c r="G20" s="257">
        <f t="shared" si="1"/>
        <v>1.7763157894736842E-2</v>
      </c>
      <c r="H20" s="6"/>
      <c r="I20" s="6"/>
      <c r="J20" s="6"/>
    </row>
    <row r="21" spans="1:10" x14ac:dyDescent="0.25">
      <c r="A21" s="208" t="s">
        <v>13</v>
      </c>
      <c r="B21" s="82" t="s">
        <v>615</v>
      </c>
      <c r="C21" s="63">
        <v>9000000</v>
      </c>
      <c r="D21" s="27">
        <v>5731074.8399999999</v>
      </c>
      <c r="E21" s="252">
        <f t="shared" si="0"/>
        <v>0.63678609333333336</v>
      </c>
      <c r="F21" s="157">
        <v>10300000</v>
      </c>
      <c r="G21" s="257">
        <f t="shared" si="1"/>
        <v>3.3881578947368422E-2</v>
      </c>
      <c r="H21" s="6"/>
      <c r="I21" s="6"/>
      <c r="J21" s="6"/>
    </row>
    <row r="22" spans="1:10" x14ac:dyDescent="0.25">
      <c r="A22" s="208" t="s">
        <v>14</v>
      </c>
      <c r="B22" s="82" t="s">
        <v>616</v>
      </c>
      <c r="C22" s="63">
        <v>2800000</v>
      </c>
      <c r="D22" s="27">
        <v>1873581.09</v>
      </c>
      <c r="E22" s="252">
        <f t="shared" si="0"/>
        <v>0.66913610357142861</v>
      </c>
      <c r="F22" s="157">
        <v>3300000</v>
      </c>
      <c r="G22" s="257">
        <f t="shared" si="1"/>
        <v>1.0855263157894738E-2</v>
      </c>
      <c r="H22" s="6"/>
      <c r="I22" s="6"/>
      <c r="J22" s="6"/>
    </row>
    <row r="23" spans="1:10" x14ac:dyDescent="0.25">
      <c r="A23" s="208" t="s">
        <v>15</v>
      </c>
      <c r="B23" s="82" t="s">
        <v>617</v>
      </c>
      <c r="C23" s="63">
        <v>26000000</v>
      </c>
      <c r="D23" s="27">
        <v>18234661.539999999</v>
      </c>
      <c r="E23" s="252">
        <f t="shared" si="0"/>
        <v>0.70133313615384607</v>
      </c>
      <c r="F23" s="157">
        <v>28900000</v>
      </c>
      <c r="G23" s="257">
        <f t="shared" si="1"/>
        <v>9.5065789473684215E-2</v>
      </c>
      <c r="H23" s="6"/>
      <c r="I23" s="6"/>
      <c r="J23" s="6"/>
    </row>
    <row r="24" spans="1:10" x14ac:dyDescent="0.25">
      <c r="A24" s="208" t="s">
        <v>16</v>
      </c>
      <c r="B24" s="82" t="s">
        <v>618</v>
      </c>
      <c r="C24" s="63">
        <v>3200000</v>
      </c>
      <c r="D24" s="27">
        <v>2101000.56</v>
      </c>
      <c r="E24" s="252">
        <f t="shared" si="0"/>
        <v>0.65656267499999998</v>
      </c>
      <c r="F24" s="157">
        <v>3500000</v>
      </c>
      <c r="G24" s="257">
        <f t="shared" si="1"/>
        <v>1.1513157894736841E-2</v>
      </c>
      <c r="H24" s="6"/>
      <c r="I24" s="6"/>
      <c r="J24" s="6"/>
    </row>
    <row r="25" spans="1:10" x14ac:dyDescent="0.25">
      <c r="A25" s="208" t="s">
        <v>17</v>
      </c>
      <c r="B25" s="82" t="s">
        <v>619</v>
      </c>
      <c r="C25" s="63">
        <v>5800000</v>
      </c>
      <c r="D25" s="27">
        <v>3832551.93</v>
      </c>
      <c r="E25" s="252">
        <f t="shared" si="0"/>
        <v>0.66078481551724144</v>
      </c>
      <c r="F25" s="157">
        <v>6750000</v>
      </c>
      <c r="G25" s="257">
        <f t="shared" si="1"/>
        <v>2.2203947368421052E-2</v>
      </c>
      <c r="H25" s="6"/>
      <c r="I25" s="6"/>
      <c r="J25" s="6"/>
    </row>
    <row r="26" spans="1:10" x14ac:dyDescent="0.25">
      <c r="A26" s="208" t="s">
        <v>18</v>
      </c>
      <c r="B26" s="82" t="s">
        <v>620</v>
      </c>
      <c r="C26" s="63">
        <v>4600000</v>
      </c>
      <c r="D26" s="27">
        <v>3173981.42</v>
      </c>
      <c r="E26" s="252">
        <f t="shared" si="0"/>
        <v>0.68999596086956516</v>
      </c>
      <c r="F26" s="157">
        <v>5400000</v>
      </c>
      <c r="G26" s="257">
        <f t="shared" si="1"/>
        <v>1.7763157894736842E-2</v>
      </c>
      <c r="H26" s="6"/>
      <c r="I26" s="6"/>
      <c r="J26" s="6"/>
    </row>
    <row r="27" spans="1:10" x14ac:dyDescent="0.25">
      <c r="A27" s="208" t="s">
        <v>19</v>
      </c>
      <c r="B27" s="82" t="s">
        <v>621</v>
      </c>
      <c r="C27" s="63">
        <v>2500000</v>
      </c>
      <c r="D27" s="27">
        <v>1646178.86</v>
      </c>
      <c r="E27" s="252">
        <f t="shared" si="0"/>
        <v>0.65847154400000008</v>
      </c>
      <c r="F27" s="157">
        <v>2800000</v>
      </c>
      <c r="G27" s="257">
        <f t="shared" si="1"/>
        <v>9.2105263157894728E-3</v>
      </c>
      <c r="H27" s="6"/>
      <c r="I27" s="6"/>
      <c r="J27" s="6"/>
    </row>
    <row r="28" spans="1:10" x14ac:dyDescent="0.25">
      <c r="A28" s="208" t="s">
        <v>20</v>
      </c>
      <c r="B28" s="82" t="s">
        <v>622</v>
      </c>
      <c r="C28" s="63">
        <v>4500000</v>
      </c>
      <c r="D28" s="27">
        <v>2949700.89</v>
      </c>
      <c r="E28" s="252">
        <f t="shared" si="0"/>
        <v>0.65548908666666672</v>
      </c>
      <c r="F28" s="157">
        <v>4700000</v>
      </c>
      <c r="G28" s="257">
        <f t="shared" si="1"/>
        <v>1.5460526315789473E-2</v>
      </c>
      <c r="H28" s="6"/>
      <c r="I28" s="6"/>
      <c r="J28" s="6"/>
    </row>
    <row r="29" spans="1:10" x14ac:dyDescent="0.25">
      <c r="A29" s="208" t="s">
        <v>21</v>
      </c>
      <c r="B29" s="82" t="s">
        <v>623</v>
      </c>
      <c r="C29" s="63">
        <v>2400000</v>
      </c>
      <c r="D29" s="27">
        <v>1450726.45</v>
      </c>
      <c r="E29" s="252">
        <f t="shared" si="0"/>
        <v>0.60446935416666669</v>
      </c>
      <c r="F29" s="157">
        <v>2650000</v>
      </c>
      <c r="G29" s="257">
        <f t="shared" si="1"/>
        <v>8.7171052631578941E-3</v>
      </c>
      <c r="H29" s="6"/>
      <c r="I29" s="6"/>
      <c r="J29" s="6"/>
    </row>
    <row r="30" spans="1:10" x14ac:dyDescent="0.25">
      <c r="A30" s="208" t="s">
        <v>22</v>
      </c>
      <c r="B30" s="82" t="s">
        <v>624</v>
      </c>
      <c r="C30" s="63">
        <v>17000000</v>
      </c>
      <c r="D30" s="27">
        <v>11067892.279999999</v>
      </c>
      <c r="E30" s="252">
        <f t="shared" si="0"/>
        <v>0.65105248705882346</v>
      </c>
      <c r="F30" s="157">
        <v>18400000</v>
      </c>
      <c r="G30" s="257">
        <f t="shared" si="1"/>
        <v>6.0526315789473685E-2</v>
      </c>
      <c r="H30" s="6"/>
      <c r="I30" s="6"/>
      <c r="J30" s="6"/>
    </row>
    <row r="31" spans="1:10" x14ac:dyDescent="0.25">
      <c r="A31" s="208" t="s">
        <v>23</v>
      </c>
      <c r="B31" s="82" t="s">
        <v>625</v>
      </c>
      <c r="C31" s="63">
        <v>13500000</v>
      </c>
      <c r="D31" s="27">
        <v>10017031.18</v>
      </c>
      <c r="E31" s="252">
        <f t="shared" si="0"/>
        <v>0.74200230962962965</v>
      </c>
      <c r="F31" s="157">
        <v>16000000</v>
      </c>
      <c r="G31" s="257">
        <f t="shared" si="1"/>
        <v>5.2631578947368418E-2</v>
      </c>
      <c r="H31" s="6"/>
      <c r="I31" s="6"/>
      <c r="J31" s="6"/>
    </row>
    <row r="32" spans="1:10" x14ac:dyDescent="0.25">
      <c r="A32" s="208" t="s">
        <v>24</v>
      </c>
      <c r="B32" s="82" t="s">
        <v>626</v>
      </c>
      <c r="C32" s="63">
        <v>3000000</v>
      </c>
      <c r="D32" s="27">
        <v>1925047.21</v>
      </c>
      <c r="E32" s="252">
        <f t="shared" si="0"/>
        <v>0.64168240333333337</v>
      </c>
      <c r="F32" s="157">
        <v>3250000</v>
      </c>
      <c r="G32" s="257">
        <f t="shared" si="1"/>
        <v>1.0690789473684211E-2</v>
      </c>
      <c r="H32" s="6"/>
      <c r="I32" s="6"/>
      <c r="J32" s="6"/>
    </row>
    <row r="33" spans="1:10" x14ac:dyDescent="0.25">
      <c r="A33" s="208" t="s">
        <v>25</v>
      </c>
      <c r="B33" s="82" t="s">
        <v>627</v>
      </c>
      <c r="C33" s="63">
        <v>1900000</v>
      </c>
      <c r="D33" s="27">
        <v>1038279.37</v>
      </c>
      <c r="E33" s="252">
        <f t="shared" si="0"/>
        <v>0.54646282631578946</v>
      </c>
      <c r="F33" s="157">
        <v>1800000</v>
      </c>
      <c r="G33" s="257">
        <f t="shared" si="1"/>
        <v>5.9210526315789476E-3</v>
      </c>
      <c r="H33" s="6"/>
      <c r="I33" s="6"/>
      <c r="J33" s="6"/>
    </row>
    <row r="34" spans="1:10" x14ac:dyDescent="0.25">
      <c r="A34" s="208" t="s">
        <v>26</v>
      </c>
      <c r="B34" s="82" t="s">
        <v>628</v>
      </c>
      <c r="C34" s="63">
        <v>500000</v>
      </c>
      <c r="D34" s="27">
        <v>351392.17</v>
      </c>
      <c r="E34" s="252">
        <f t="shared" si="0"/>
        <v>0.70278434000000001</v>
      </c>
      <c r="F34" s="157">
        <v>600000</v>
      </c>
      <c r="G34" s="257">
        <f t="shared" si="1"/>
        <v>1.9736842105263159E-3</v>
      </c>
      <c r="H34" s="6"/>
      <c r="I34" s="6"/>
      <c r="J34" s="6"/>
    </row>
    <row r="35" spans="1:10" x14ac:dyDescent="0.25">
      <c r="A35" s="208" t="s">
        <v>27</v>
      </c>
      <c r="B35" s="82" t="s">
        <v>629</v>
      </c>
      <c r="C35" s="63">
        <v>12200000</v>
      </c>
      <c r="D35" s="27">
        <v>7790407.9400000004</v>
      </c>
      <c r="E35" s="252">
        <f t="shared" si="0"/>
        <v>0.63855802786885252</v>
      </c>
      <c r="F35" s="157">
        <v>12600000</v>
      </c>
      <c r="G35" s="257">
        <f t="shared" si="1"/>
        <v>4.1447368421052629E-2</v>
      </c>
      <c r="H35" s="6"/>
      <c r="I35" s="6"/>
      <c r="J35" s="6"/>
    </row>
    <row r="36" spans="1:10" x14ac:dyDescent="0.25">
      <c r="A36" s="208" t="s">
        <v>28</v>
      </c>
      <c r="B36" s="82" t="s">
        <v>630</v>
      </c>
      <c r="C36" s="63">
        <v>11200000</v>
      </c>
      <c r="D36" s="27">
        <v>7386181.5899999999</v>
      </c>
      <c r="E36" s="252">
        <f t="shared" si="0"/>
        <v>0.65948049910714279</v>
      </c>
      <c r="F36" s="157">
        <v>12000000</v>
      </c>
      <c r="G36" s="257">
        <f t="shared" si="1"/>
        <v>3.9473684210526314E-2</v>
      </c>
      <c r="H36" s="6"/>
      <c r="I36" s="6"/>
      <c r="J36" s="6"/>
    </row>
    <row r="37" spans="1:10" x14ac:dyDescent="0.25">
      <c r="A37" s="208" t="s">
        <v>29</v>
      </c>
      <c r="B37" s="82" t="s">
        <v>631</v>
      </c>
      <c r="C37" s="63">
        <v>1550000</v>
      </c>
      <c r="D37" s="27">
        <v>1024451.3</v>
      </c>
      <c r="E37" s="252">
        <f t="shared" si="0"/>
        <v>0.66093632258064516</v>
      </c>
      <c r="F37" s="157">
        <v>1500000</v>
      </c>
      <c r="G37" s="257">
        <f t="shared" si="1"/>
        <v>4.9342105263157892E-3</v>
      </c>
      <c r="H37" s="6"/>
      <c r="I37" s="6"/>
      <c r="J37" s="6"/>
    </row>
    <row r="38" spans="1:10" x14ac:dyDescent="0.25">
      <c r="A38" s="208" t="s">
        <v>30</v>
      </c>
      <c r="B38" s="82" t="s">
        <v>632</v>
      </c>
      <c r="C38" s="63">
        <v>45000000</v>
      </c>
      <c r="D38" s="27">
        <v>32895368.640000001</v>
      </c>
      <c r="E38" s="252">
        <f t="shared" si="0"/>
        <v>0.731008192</v>
      </c>
      <c r="F38" s="157">
        <v>51300000</v>
      </c>
      <c r="G38" s="257">
        <f t="shared" si="1"/>
        <v>0.16875000000000001</v>
      </c>
      <c r="H38" s="6"/>
      <c r="I38" s="6"/>
      <c r="J38" s="6"/>
    </row>
    <row r="39" spans="1:10" x14ac:dyDescent="0.25">
      <c r="A39" s="208" t="s">
        <v>31</v>
      </c>
      <c r="B39" s="82" t="s">
        <v>633</v>
      </c>
      <c r="C39" s="63">
        <v>1600000</v>
      </c>
      <c r="D39" s="27">
        <v>1061488.44</v>
      </c>
      <c r="E39" s="252">
        <f t="shared" si="0"/>
        <v>0.66343027499999996</v>
      </c>
      <c r="F39" s="157">
        <v>2200000</v>
      </c>
      <c r="G39" s="257">
        <f t="shared" si="1"/>
        <v>7.2368421052631578E-3</v>
      </c>
      <c r="H39" s="6"/>
      <c r="I39" s="6"/>
      <c r="J39" s="6"/>
    </row>
    <row r="40" spans="1:10" s="5" customFormat="1" x14ac:dyDescent="0.25">
      <c r="A40" s="209" t="s">
        <v>32</v>
      </c>
      <c r="B40" s="83" t="s">
        <v>33</v>
      </c>
      <c r="C40" s="58">
        <f>+C41</f>
        <v>0</v>
      </c>
      <c r="D40" s="26">
        <f>+D41</f>
        <v>0</v>
      </c>
      <c r="E40" s="250">
        <v>0</v>
      </c>
      <c r="F40" s="49">
        <f>+F41</f>
        <v>0</v>
      </c>
      <c r="G40" s="256">
        <f t="shared" si="1"/>
        <v>0</v>
      </c>
      <c r="H40" s="6"/>
      <c r="I40" s="6"/>
    </row>
    <row r="41" spans="1:10" s="5" customFormat="1" x14ac:dyDescent="0.25">
      <c r="A41" s="209" t="s">
        <v>34</v>
      </c>
      <c r="B41" s="83" t="s">
        <v>35</v>
      </c>
      <c r="C41" s="58">
        <f>+C42</f>
        <v>0</v>
      </c>
      <c r="D41" s="26">
        <f>+D42</f>
        <v>0</v>
      </c>
      <c r="E41" s="250">
        <v>0</v>
      </c>
      <c r="F41" s="49">
        <f>+F42</f>
        <v>0</v>
      </c>
      <c r="G41" s="256">
        <f t="shared" si="1"/>
        <v>0</v>
      </c>
      <c r="H41" s="6"/>
      <c r="I41" s="6"/>
    </row>
    <row r="42" spans="1:10" x14ac:dyDescent="0.25">
      <c r="A42" s="210" t="s">
        <v>36</v>
      </c>
      <c r="B42" s="84" t="s">
        <v>37</v>
      </c>
      <c r="C42" s="63">
        <v>0</v>
      </c>
      <c r="D42" s="27">
        <v>0</v>
      </c>
      <c r="E42" s="253">
        <v>0</v>
      </c>
      <c r="F42" s="48">
        <v>0</v>
      </c>
      <c r="G42" s="257">
        <f t="shared" si="1"/>
        <v>0</v>
      </c>
      <c r="H42" s="6"/>
      <c r="I42" s="6"/>
    </row>
    <row r="43" spans="1:10" s="5" customFormat="1" x14ac:dyDescent="0.25">
      <c r="A43" s="209" t="s">
        <v>38</v>
      </c>
      <c r="B43" s="83" t="s">
        <v>39</v>
      </c>
      <c r="C43" s="58">
        <f>C44</f>
        <v>5000</v>
      </c>
      <c r="D43" s="26">
        <f t="shared" ref="D43:F43" si="3">D44</f>
        <v>2012.62</v>
      </c>
      <c r="E43" s="250">
        <f t="shared" ref="E43:E70" si="4">+D43/C43</f>
        <v>0.40252399999999999</v>
      </c>
      <c r="F43" s="49">
        <f t="shared" si="3"/>
        <v>5000</v>
      </c>
      <c r="G43" s="256">
        <f t="shared" si="1"/>
        <v>1.6447368421052631E-5</v>
      </c>
      <c r="H43" s="6"/>
      <c r="I43" s="6"/>
    </row>
    <row r="44" spans="1:10" s="5" customFormat="1" x14ac:dyDescent="0.25">
      <c r="A44" s="209" t="s">
        <v>40</v>
      </c>
      <c r="B44" s="83" t="s">
        <v>41</v>
      </c>
      <c r="C44" s="58">
        <f>SUM(C45:C57)</f>
        <v>5000</v>
      </c>
      <c r="D44" s="26">
        <f>SUM(D45:D57)</f>
        <v>2012.62</v>
      </c>
      <c r="E44" s="250">
        <f t="shared" si="4"/>
        <v>0.40252399999999999</v>
      </c>
      <c r="F44" s="49">
        <f>SUM(F45:F57)</f>
        <v>5000</v>
      </c>
      <c r="G44" s="256">
        <f t="shared" si="1"/>
        <v>1.6447368421052631E-5</v>
      </c>
      <c r="H44" s="6"/>
      <c r="I44" s="6"/>
    </row>
    <row r="45" spans="1:10" hidden="1" x14ac:dyDescent="0.25">
      <c r="A45" s="210" t="s">
        <v>42</v>
      </c>
      <c r="B45" s="84" t="s">
        <v>43</v>
      </c>
      <c r="C45" s="63">
        <v>0</v>
      </c>
      <c r="D45" s="27">
        <v>0</v>
      </c>
      <c r="E45" s="253">
        <v>0</v>
      </c>
      <c r="F45" s="48">
        <v>0</v>
      </c>
      <c r="G45" s="257">
        <f t="shared" si="1"/>
        <v>0</v>
      </c>
      <c r="H45" s="6"/>
      <c r="I45" s="6"/>
    </row>
    <row r="46" spans="1:10" hidden="1" x14ac:dyDescent="0.25">
      <c r="A46" s="210" t="s">
        <v>44</v>
      </c>
      <c r="B46" s="84" t="s">
        <v>45</v>
      </c>
      <c r="C46" s="63">
        <v>0</v>
      </c>
      <c r="D46" s="27">
        <v>0</v>
      </c>
      <c r="E46" s="253">
        <v>0</v>
      </c>
      <c r="F46" s="48">
        <v>0</v>
      </c>
      <c r="G46" s="257">
        <f t="shared" si="1"/>
        <v>0</v>
      </c>
      <c r="H46" s="6"/>
      <c r="I46" s="6"/>
    </row>
    <row r="47" spans="1:10" hidden="1" x14ac:dyDescent="0.25">
      <c r="A47" s="210" t="s">
        <v>46</v>
      </c>
      <c r="B47" s="84" t="s">
        <v>47</v>
      </c>
      <c r="C47" s="63">
        <v>0</v>
      </c>
      <c r="D47" s="27">
        <v>0</v>
      </c>
      <c r="E47" s="253">
        <v>0</v>
      </c>
      <c r="F47" s="48">
        <v>0</v>
      </c>
      <c r="G47" s="257">
        <f t="shared" si="1"/>
        <v>0</v>
      </c>
      <c r="H47" s="6"/>
      <c r="I47" s="6"/>
    </row>
    <row r="48" spans="1:10" hidden="1" x14ac:dyDescent="0.25">
      <c r="A48" s="210" t="s">
        <v>48</v>
      </c>
      <c r="B48" s="84" t="s">
        <v>49</v>
      </c>
      <c r="C48" s="63">
        <v>0</v>
      </c>
      <c r="D48" s="27">
        <v>0</v>
      </c>
      <c r="E48" s="253">
        <v>0</v>
      </c>
      <c r="F48" s="48">
        <v>0</v>
      </c>
      <c r="G48" s="257">
        <f t="shared" si="1"/>
        <v>0</v>
      </c>
      <c r="H48" s="6"/>
      <c r="I48" s="6"/>
    </row>
    <row r="49" spans="1:9" hidden="1" x14ac:dyDescent="0.25">
      <c r="A49" s="210" t="s">
        <v>50</v>
      </c>
      <c r="B49" s="84" t="s">
        <v>51</v>
      </c>
      <c r="C49" s="63">
        <v>0</v>
      </c>
      <c r="D49" s="27">
        <v>0</v>
      </c>
      <c r="E49" s="253">
        <v>0</v>
      </c>
      <c r="F49" s="48">
        <v>0</v>
      </c>
      <c r="G49" s="257">
        <f t="shared" si="1"/>
        <v>0</v>
      </c>
      <c r="H49" s="6"/>
      <c r="I49" s="6"/>
    </row>
    <row r="50" spans="1:9" hidden="1" x14ac:dyDescent="0.25">
      <c r="A50" s="210" t="s">
        <v>52</v>
      </c>
      <c r="B50" s="84" t="s">
        <v>53</v>
      </c>
      <c r="C50" s="63">
        <v>0</v>
      </c>
      <c r="D50" s="27">
        <v>0</v>
      </c>
      <c r="E50" s="253">
        <v>0</v>
      </c>
      <c r="F50" s="48">
        <v>0</v>
      </c>
      <c r="G50" s="257">
        <f t="shared" si="1"/>
        <v>0</v>
      </c>
      <c r="H50" s="6"/>
      <c r="I50" s="6"/>
    </row>
    <row r="51" spans="1:9" hidden="1" x14ac:dyDescent="0.25">
      <c r="A51" s="210" t="s">
        <v>54</v>
      </c>
      <c r="B51" s="84" t="s">
        <v>55</v>
      </c>
      <c r="C51" s="63">
        <v>0</v>
      </c>
      <c r="D51" s="27">
        <v>0</v>
      </c>
      <c r="E51" s="253">
        <v>0</v>
      </c>
      <c r="F51" s="48">
        <v>0</v>
      </c>
      <c r="G51" s="257">
        <f t="shared" si="1"/>
        <v>0</v>
      </c>
      <c r="H51" s="6"/>
      <c r="I51" s="6"/>
    </row>
    <row r="52" spans="1:9" hidden="1" x14ac:dyDescent="0.25">
      <c r="A52" s="210" t="s">
        <v>56</v>
      </c>
      <c r="B52" s="84" t="s">
        <v>57</v>
      </c>
      <c r="C52" s="63">
        <v>0</v>
      </c>
      <c r="D52" s="27">
        <v>0</v>
      </c>
      <c r="E52" s="253">
        <v>0</v>
      </c>
      <c r="F52" s="48">
        <v>0</v>
      </c>
      <c r="G52" s="257">
        <f t="shared" si="1"/>
        <v>0</v>
      </c>
      <c r="H52" s="6"/>
      <c r="I52" s="6"/>
    </row>
    <row r="53" spans="1:9" x14ac:dyDescent="0.25">
      <c r="A53" s="210" t="s">
        <v>58</v>
      </c>
      <c r="B53" s="84" t="s">
        <v>59</v>
      </c>
      <c r="C53" s="63">
        <v>5000</v>
      </c>
      <c r="D53" s="27">
        <v>2012.62</v>
      </c>
      <c r="E53" s="253">
        <f t="shared" si="4"/>
        <v>0.40252399999999999</v>
      </c>
      <c r="F53" s="48">
        <v>5000</v>
      </c>
      <c r="G53" s="257">
        <f t="shared" si="1"/>
        <v>1.6447368421052631E-5</v>
      </c>
      <c r="H53" s="6"/>
      <c r="I53" s="6"/>
    </row>
    <row r="54" spans="1:9" hidden="1" x14ac:dyDescent="0.25">
      <c r="A54" s="210" t="s">
        <v>60</v>
      </c>
      <c r="B54" s="84" t="s">
        <v>61</v>
      </c>
      <c r="C54" s="63">
        <v>0</v>
      </c>
      <c r="D54" s="27">
        <v>0</v>
      </c>
      <c r="E54" s="253">
        <v>0</v>
      </c>
      <c r="F54" s="48">
        <v>0</v>
      </c>
      <c r="G54" s="257">
        <f t="shared" si="1"/>
        <v>0</v>
      </c>
      <c r="H54" s="6"/>
      <c r="I54" s="6"/>
    </row>
    <row r="55" spans="1:9" hidden="1" x14ac:dyDescent="0.25">
      <c r="A55" s="210" t="s">
        <v>62</v>
      </c>
      <c r="B55" s="84" t="s">
        <v>63</v>
      </c>
      <c r="C55" s="63">
        <v>0</v>
      </c>
      <c r="D55" s="27">
        <v>0</v>
      </c>
      <c r="E55" s="253">
        <v>0</v>
      </c>
      <c r="F55" s="48">
        <v>0</v>
      </c>
      <c r="G55" s="257">
        <f t="shared" si="1"/>
        <v>0</v>
      </c>
      <c r="H55" s="6"/>
      <c r="I55" s="6"/>
    </row>
    <row r="56" spans="1:9" hidden="1" x14ac:dyDescent="0.25">
      <c r="A56" s="210" t="s">
        <v>64</v>
      </c>
      <c r="B56" s="84" t="s">
        <v>65</v>
      </c>
      <c r="C56" s="63">
        <v>0</v>
      </c>
      <c r="D56" s="27">
        <v>0</v>
      </c>
      <c r="E56" s="253">
        <v>0</v>
      </c>
      <c r="F56" s="48">
        <v>0</v>
      </c>
      <c r="G56" s="257">
        <f t="shared" si="1"/>
        <v>0</v>
      </c>
      <c r="H56" s="6"/>
      <c r="I56" s="6"/>
    </row>
    <row r="57" spans="1:9" hidden="1" x14ac:dyDescent="0.25">
      <c r="A57" s="210" t="s">
        <v>66</v>
      </c>
      <c r="B57" s="84" t="s">
        <v>67</v>
      </c>
      <c r="C57" s="63">
        <v>0</v>
      </c>
      <c r="D57" s="27">
        <v>0</v>
      </c>
      <c r="E57" s="253">
        <v>0</v>
      </c>
      <c r="F57" s="48">
        <v>0</v>
      </c>
      <c r="G57" s="257">
        <f t="shared" si="1"/>
        <v>0</v>
      </c>
      <c r="H57" s="6"/>
      <c r="I57" s="6"/>
    </row>
    <row r="58" spans="1:9" s="5" customFormat="1" x14ac:dyDescent="0.25">
      <c r="A58" s="209" t="s">
        <v>68</v>
      </c>
      <c r="B58" s="83" t="s">
        <v>69</v>
      </c>
      <c r="C58" s="58">
        <f>C59</f>
        <v>14420000</v>
      </c>
      <c r="D58" s="26">
        <f t="shared" ref="D58:F59" si="5">D59</f>
        <v>29801291.050000001</v>
      </c>
      <c r="E58" s="250">
        <f t="shared" si="4"/>
        <v>2.0666637343966712</v>
      </c>
      <c r="F58" s="49">
        <f t="shared" si="5"/>
        <v>72000000</v>
      </c>
      <c r="G58" s="256">
        <f t="shared" si="1"/>
        <v>0.23684210526315788</v>
      </c>
      <c r="H58" s="6"/>
      <c r="I58" s="6"/>
    </row>
    <row r="59" spans="1:9" s="5" customFormat="1" x14ac:dyDescent="0.25">
      <c r="A59" s="209" t="s">
        <v>70</v>
      </c>
      <c r="B59" s="83" t="s">
        <v>71</v>
      </c>
      <c r="C59" s="58">
        <f>C60</f>
        <v>14420000</v>
      </c>
      <c r="D59" s="26">
        <f t="shared" si="5"/>
        <v>29801291.050000001</v>
      </c>
      <c r="E59" s="250">
        <f t="shared" si="4"/>
        <v>2.0666637343966712</v>
      </c>
      <c r="F59" s="49">
        <f t="shared" si="5"/>
        <v>72000000</v>
      </c>
      <c r="G59" s="256">
        <f t="shared" si="1"/>
        <v>0.23684210526315788</v>
      </c>
      <c r="H59" s="6"/>
      <c r="I59" s="6"/>
    </row>
    <row r="60" spans="1:9" s="5" customFormat="1" x14ac:dyDescent="0.25">
      <c r="A60" s="209" t="s">
        <v>72</v>
      </c>
      <c r="B60" s="83" t="s">
        <v>640</v>
      </c>
      <c r="C60" s="58">
        <f>SUM(C61:C64)</f>
        <v>14420000</v>
      </c>
      <c r="D60" s="26">
        <f>SUM(D61:D64)</f>
        <v>29801291.050000001</v>
      </c>
      <c r="E60" s="250">
        <f t="shared" si="4"/>
        <v>2.0666637343966712</v>
      </c>
      <c r="F60" s="49">
        <f>SUM(F61:F64)</f>
        <v>72000000</v>
      </c>
      <c r="G60" s="256">
        <f t="shared" si="1"/>
        <v>0.23684210526315788</v>
      </c>
      <c r="H60" s="6"/>
      <c r="I60" s="6"/>
    </row>
    <row r="61" spans="1:9" hidden="1" x14ac:dyDescent="0.25">
      <c r="A61" s="210" t="s">
        <v>73</v>
      </c>
      <c r="B61" s="84" t="s">
        <v>337</v>
      </c>
      <c r="C61" s="63">
        <v>0</v>
      </c>
      <c r="D61" s="27">
        <v>0</v>
      </c>
      <c r="E61" s="253">
        <v>0</v>
      </c>
      <c r="F61" s="48">
        <v>0</v>
      </c>
      <c r="G61" s="257">
        <f t="shared" si="1"/>
        <v>0</v>
      </c>
      <c r="H61" s="6"/>
      <c r="I61" s="6"/>
    </row>
    <row r="62" spans="1:9" hidden="1" x14ac:dyDescent="0.25">
      <c r="A62" s="210" t="s">
        <v>74</v>
      </c>
      <c r="B62" s="84" t="s">
        <v>75</v>
      </c>
      <c r="C62" s="63">
        <v>0</v>
      </c>
      <c r="D62" s="27">
        <v>0</v>
      </c>
      <c r="E62" s="253">
        <v>0</v>
      </c>
      <c r="F62" s="48">
        <v>0</v>
      </c>
      <c r="G62" s="257">
        <f t="shared" si="1"/>
        <v>0</v>
      </c>
      <c r="H62" s="6"/>
      <c r="I62" s="6"/>
    </row>
    <row r="63" spans="1:9" x14ac:dyDescent="0.25">
      <c r="A63" s="210" t="s">
        <v>76</v>
      </c>
      <c r="B63" s="84" t="s">
        <v>638</v>
      </c>
      <c r="C63" s="63">
        <v>20000</v>
      </c>
      <c r="D63" s="27">
        <v>47002.43</v>
      </c>
      <c r="E63" s="253">
        <v>0</v>
      </c>
      <c r="F63" s="48">
        <v>100000</v>
      </c>
      <c r="G63" s="257">
        <f t="shared" si="1"/>
        <v>3.2894736842105262E-4</v>
      </c>
      <c r="H63" s="6"/>
      <c r="I63" s="6"/>
    </row>
    <row r="64" spans="1:9" x14ac:dyDescent="0.25">
      <c r="A64" s="210" t="s">
        <v>77</v>
      </c>
      <c r="B64" s="84" t="s">
        <v>637</v>
      </c>
      <c r="C64" s="63">
        <v>14400000</v>
      </c>
      <c r="D64" s="27">
        <v>29754288.620000001</v>
      </c>
      <c r="E64" s="253">
        <f t="shared" si="4"/>
        <v>2.0662700430555558</v>
      </c>
      <c r="F64" s="48">
        <v>71900000</v>
      </c>
      <c r="G64" s="257">
        <f t="shared" si="1"/>
        <v>0.23651315789473684</v>
      </c>
      <c r="H64" s="6"/>
      <c r="I64" s="6"/>
    </row>
    <row r="65" spans="1:9" s="5" customFormat="1" x14ac:dyDescent="0.25">
      <c r="A65" s="209" t="s">
        <v>78</v>
      </c>
      <c r="B65" s="83" t="s">
        <v>79</v>
      </c>
      <c r="C65" s="58">
        <f>SUM(C66:C66)</f>
        <v>10000000</v>
      </c>
      <c r="D65" s="26">
        <f>SUM(D66:D66)</f>
        <v>6043257</v>
      </c>
      <c r="E65" s="250">
        <f t="shared" si="4"/>
        <v>0.60432569999999997</v>
      </c>
      <c r="F65" s="49">
        <f>SUM(F66:F66)</f>
        <v>12000000</v>
      </c>
      <c r="G65" s="256">
        <f t="shared" si="1"/>
        <v>3.9473684210526314E-2</v>
      </c>
      <c r="H65" s="6"/>
      <c r="I65" s="6"/>
    </row>
    <row r="66" spans="1:9" x14ac:dyDescent="0.25">
      <c r="A66" s="210" t="s">
        <v>80</v>
      </c>
      <c r="B66" s="84" t="s">
        <v>359</v>
      </c>
      <c r="C66" s="63">
        <v>10000000</v>
      </c>
      <c r="D66" s="27">
        <v>6043257</v>
      </c>
      <c r="E66" s="253">
        <f t="shared" si="4"/>
        <v>0.60432569999999997</v>
      </c>
      <c r="F66" s="48">
        <v>12000000</v>
      </c>
      <c r="G66" s="257">
        <f t="shared" si="1"/>
        <v>3.9473684210526314E-2</v>
      </c>
      <c r="H66" s="6"/>
      <c r="I66" s="6"/>
    </row>
    <row r="67" spans="1:9" s="5" customFormat="1" x14ac:dyDescent="0.25">
      <c r="A67" s="209" t="s">
        <v>81</v>
      </c>
      <c r="B67" s="83" t="s">
        <v>82</v>
      </c>
      <c r="C67" s="58">
        <f>+C68+C70+C73+C75</f>
        <v>1800000</v>
      </c>
      <c r="D67" s="26">
        <f>+D68+D70+D73+D75</f>
        <v>557034.59</v>
      </c>
      <c r="E67" s="250">
        <v>0</v>
      </c>
      <c r="F67" s="49">
        <f>+F68+F70+F73+F75</f>
        <v>1055000</v>
      </c>
      <c r="G67" s="256">
        <f t="shared" si="1"/>
        <v>3.4703947368421055E-3</v>
      </c>
      <c r="H67" s="6"/>
      <c r="I67" s="6"/>
    </row>
    <row r="68" spans="1:9" s="5" customFormat="1" x14ac:dyDescent="0.25">
      <c r="A68" s="209" t="s">
        <v>83</v>
      </c>
      <c r="B68" s="83" t="s">
        <v>84</v>
      </c>
      <c r="C68" s="58">
        <f>SUM(C69:C69)</f>
        <v>0</v>
      </c>
      <c r="D68" s="26">
        <f>SUM(D69:D69)</f>
        <v>0</v>
      </c>
      <c r="E68" s="250">
        <v>0</v>
      </c>
      <c r="F68" s="49">
        <f>SUM(F69:F69)</f>
        <v>0</v>
      </c>
      <c r="G68" s="256">
        <f t="shared" si="1"/>
        <v>0</v>
      </c>
      <c r="H68" s="6"/>
      <c r="I68" s="6"/>
    </row>
    <row r="69" spans="1:9" x14ac:dyDescent="0.25">
      <c r="A69" s="210" t="s">
        <v>85</v>
      </c>
      <c r="B69" s="84" t="s">
        <v>634</v>
      </c>
      <c r="C69" s="63">
        <v>0</v>
      </c>
      <c r="D69" s="27">
        <v>0</v>
      </c>
      <c r="E69" s="253">
        <v>0</v>
      </c>
      <c r="F69" s="48">
        <v>0</v>
      </c>
      <c r="G69" s="257">
        <f t="shared" si="1"/>
        <v>0</v>
      </c>
      <c r="H69" s="6"/>
      <c r="I69" s="6"/>
    </row>
    <row r="70" spans="1:9" s="5" customFormat="1" x14ac:dyDescent="0.25">
      <c r="A70" s="209" t="s">
        <v>86</v>
      </c>
      <c r="B70" s="83" t="s">
        <v>87</v>
      </c>
      <c r="C70" s="58">
        <f>SUM(C71:C72)</f>
        <v>150000</v>
      </c>
      <c r="D70" s="26">
        <f>SUM(D71:D72)</f>
        <v>68376.59</v>
      </c>
      <c r="E70" s="250">
        <f t="shared" si="4"/>
        <v>0.45584393333333328</v>
      </c>
      <c r="F70" s="49">
        <f>SUM(F71:F72)</f>
        <v>55000</v>
      </c>
      <c r="G70" s="256">
        <f t="shared" si="1"/>
        <v>1.8092105263157896E-4</v>
      </c>
      <c r="H70" s="6"/>
      <c r="I70" s="6"/>
    </row>
    <row r="71" spans="1:9" x14ac:dyDescent="0.25">
      <c r="A71" s="210" t="s">
        <v>88</v>
      </c>
      <c r="B71" s="84" t="s">
        <v>89</v>
      </c>
      <c r="C71" s="63">
        <v>0</v>
      </c>
      <c r="D71" s="27">
        <v>0</v>
      </c>
      <c r="E71" s="253">
        <v>0</v>
      </c>
      <c r="F71" s="48">
        <v>0</v>
      </c>
      <c r="G71" s="257">
        <f t="shared" si="1"/>
        <v>0</v>
      </c>
      <c r="H71" s="6"/>
      <c r="I71" s="6"/>
    </row>
    <row r="72" spans="1:9" x14ac:dyDescent="0.25">
      <c r="A72" s="210" t="s">
        <v>90</v>
      </c>
      <c r="B72" s="84" t="s">
        <v>91</v>
      </c>
      <c r="C72" s="63">
        <v>150000</v>
      </c>
      <c r="D72" s="27">
        <v>68376.59</v>
      </c>
      <c r="E72" s="253">
        <f t="shared" ref="E72:E89" si="6">+D72/C72</f>
        <v>0.45584393333333328</v>
      </c>
      <c r="F72" s="48">
        <v>55000</v>
      </c>
      <c r="G72" s="257">
        <f t="shared" si="1"/>
        <v>1.8092105263157896E-4</v>
      </c>
      <c r="H72" s="6"/>
      <c r="I72" s="6"/>
    </row>
    <row r="73" spans="1:9" s="5" customFormat="1" x14ac:dyDescent="0.25">
      <c r="A73" s="209" t="s">
        <v>92</v>
      </c>
      <c r="B73" s="83" t="s">
        <v>93</v>
      </c>
      <c r="C73" s="58">
        <f>SUM(C74)</f>
        <v>0</v>
      </c>
      <c r="D73" s="26">
        <f>SUM(D74)</f>
        <v>704.74</v>
      </c>
      <c r="E73" s="250">
        <v>0</v>
      </c>
      <c r="F73" s="49">
        <f>SUM(F74)</f>
        <v>0</v>
      </c>
      <c r="G73" s="256">
        <f t="shared" si="1"/>
        <v>0</v>
      </c>
      <c r="H73" s="6"/>
      <c r="I73" s="6"/>
    </row>
    <row r="74" spans="1:9" x14ac:dyDescent="0.25">
      <c r="A74" s="210" t="s">
        <v>94</v>
      </c>
      <c r="B74" s="84" t="s">
        <v>95</v>
      </c>
      <c r="C74" s="63">
        <v>0</v>
      </c>
      <c r="D74" s="27">
        <v>704.74</v>
      </c>
      <c r="E74" s="253">
        <v>0</v>
      </c>
      <c r="F74" s="48">
        <v>0</v>
      </c>
      <c r="G74" s="257">
        <f t="shared" ref="G74:G89" si="7">F74/$F$10</f>
        <v>0</v>
      </c>
      <c r="H74" s="6"/>
      <c r="I74" s="6"/>
    </row>
    <row r="75" spans="1:9" s="5" customFormat="1" x14ac:dyDescent="0.25">
      <c r="A75" s="209" t="s">
        <v>96</v>
      </c>
      <c r="B75" s="83" t="s">
        <v>360</v>
      </c>
      <c r="C75" s="58">
        <f>SUM(C76)</f>
        <v>1650000</v>
      </c>
      <c r="D75" s="26">
        <f>SUM(D76)</f>
        <v>487953.26</v>
      </c>
      <c r="E75" s="250">
        <v>0</v>
      </c>
      <c r="F75" s="49">
        <f>SUM(F76)</f>
        <v>1000000</v>
      </c>
      <c r="G75" s="256">
        <f t="shared" si="7"/>
        <v>3.2894736842105261E-3</v>
      </c>
      <c r="H75" s="6"/>
      <c r="I75" s="6"/>
    </row>
    <row r="76" spans="1:9" x14ac:dyDescent="0.25">
      <c r="A76" s="210" t="s">
        <v>97</v>
      </c>
      <c r="B76" s="84" t="s">
        <v>635</v>
      </c>
      <c r="C76" s="63">
        <v>1650000</v>
      </c>
      <c r="D76" s="27">
        <v>487953.26</v>
      </c>
      <c r="E76" s="253">
        <v>0</v>
      </c>
      <c r="F76" s="48">
        <v>1000000</v>
      </c>
      <c r="G76" s="257">
        <f t="shared" si="7"/>
        <v>3.2894736842105261E-3</v>
      </c>
      <c r="H76" s="6"/>
      <c r="I76" s="6"/>
    </row>
    <row r="77" spans="1:9" s="5" customFormat="1" x14ac:dyDescent="0.25">
      <c r="A77" s="192" t="s">
        <v>121</v>
      </c>
      <c r="B77" s="23" t="s">
        <v>98</v>
      </c>
      <c r="C77" s="58">
        <f>+C78</f>
        <v>3600000</v>
      </c>
      <c r="D77" s="26">
        <f>+D78</f>
        <v>1907447.06</v>
      </c>
      <c r="E77" s="250">
        <f t="shared" si="6"/>
        <v>0.52984640555555562</v>
      </c>
      <c r="F77" s="50">
        <f>+F78</f>
        <v>1000000</v>
      </c>
      <c r="G77" s="256">
        <f t="shared" si="7"/>
        <v>3.2894736842105261E-3</v>
      </c>
      <c r="H77" s="6"/>
      <c r="I77" s="6"/>
    </row>
    <row r="78" spans="1:9" x14ac:dyDescent="0.25">
      <c r="A78" s="45" t="s">
        <v>121</v>
      </c>
      <c r="B78" s="24" t="s">
        <v>361</v>
      </c>
      <c r="C78" s="63">
        <v>3600000</v>
      </c>
      <c r="D78" s="27">
        <v>1907447.06</v>
      </c>
      <c r="E78" s="253">
        <f t="shared" si="6"/>
        <v>0.52984640555555562</v>
      </c>
      <c r="F78" s="48">
        <v>1000000</v>
      </c>
      <c r="G78" s="257">
        <f t="shared" si="7"/>
        <v>3.2894736842105261E-3</v>
      </c>
      <c r="H78" s="6"/>
      <c r="I78" s="6"/>
    </row>
    <row r="79" spans="1:9" s="5" customFormat="1" ht="21.75" customHeight="1" x14ac:dyDescent="0.25">
      <c r="A79" s="44" t="s">
        <v>99</v>
      </c>
      <c r="B79" s="25" t="s">
        <v>1369</v>
      </c>
      <c r="C79" s="58">
        <f>+C80+C81+C82+C84</f>
        <v>175000</v>
      </c>
      <c r="D79" s="26">
        <f>+D80+D81+D82+D84</f>
        <v>89306.76</v>
      </c>
      <c r="E79" s="250">
        <f t="shared" si="6"/>
        <v>0.51032434285714279</v>
      </c>
      <c r="F79" s="50">
        <f>+F80+F81+F82+F84+F87</f>
        <v>190000</v>
      </c>
      <c r="G79" s="256">
        <f t="shared" si="7"/>
        <v>6.2500000000000001E-4</v>
      </c>
      <c r="H79" s="6"/>
      <c r="I79" s="6"/>
    </row>
    <row r="80" spans="1:9" s="5" customFormat="1" x14ac:dyDescent="0.25">
      <c r="A80" s="192" t="s">
        <v>100</v>
      </c>
      <c r="B80" s="25" t="s">
        <v>654</v>
      </c>
      <c r="C80" s="58">
        <v>0</v>
      </c>
      <c r="D80" s="26">
        <v>0</v>
      </c>
      <c r="E80" s="250">
        <v>0</v>
      </c>
      <c r="F80" s="50">
        <v>0</v>
      </c>
      <c r="G80" s="256">
        <f t="shared" si="7"/>
        <v>0</v>
      </c>
      <c r="H80" s="6"/>
      <c r="I80" s="6"/>
    </row>
    <row r="81" spans="1:9" s="5" customFormat="1" x14ac:dyDescent="0.25">
      <c r="A81" s="192" t="s">
        <v>103</v>
      </c>
      <c r="B81" s="25" t="s">
        <v>655</v>
      </c>
      <c r="C81" s="58">
        <v>0</v>
      </c>
      <c r="D81" s="26">
        <v>0</v>
      </c>
      <c r="E81" s="250">
        <v>0</v>
      </c>
      <c r="F81" s="50">
        <v>0</v>
      </c>
      <c r="G81" s="256">
        <f t="shared" si="7"/>
        <v>0</v>
      </c>
      <c r="H81" s="6"/>
      <c r="I81" s="6"/>
    </row>
    <row r="82" spans="1:9" s="5" customFormat="1" x14ac:dyDescent="0.25">
      <c r="A82" s="192" t="s">
        <v>111</v>
      </c>
      <c r="B82" s="25" t="s">
        <v>817</v>
      </c>
      <c r="C82" s="58">
        <f>+C83</f>
        <v>175000</v>
      </c>
      <c r="D82" s="26">
        <f>+D83</f>
        <v>89306.76</v>
      </c>
      <c r="E82" s="250">
        <f t="shared" si="6"/>
        <v>0.51032434285714279</v>
      </c>
      <c r="F82" s="51">
        <f>+F83</f>
        <v>190000</v>
      </c>
      <c r="G82" s="256">
        <f t="shared" si="7"/>
        <v>6.2500000000000001E-4</v>
      </c>
      <c r="H82" s="6"/>
      <c r="I82" s="6"/>
    </row>
    <row r="83" spans="1:9" x14ac:dyDescent="0.25">
      <c r="A83" s="193" t="s">
        <v>112</v>
      </c>
      <c r="B83" s="71" t="s">
        <v>636</v>
      </c>
      <c r="C83" s="85">
        <v>175000</v>
      </c>
      <c r="D83" s="28">
        <v>89306.76</v>
      </c>
      <c r="E83" s="253">
        <f t="shared" si="6"/>
        <v>0.51032434285714279</v>
      </c>
      <c r="F83" s="52">
        <v>190000</v>
      </c>
      <c r="G83" s="257">
        <f t="shared" si="7"/>
        <v>6.2500000000000001E-4</v>
      </c>
      <c r="H83" s="6"/>
      <c r="I83" s="6"/>
    </row>
    <row r="84" spans="1:9" s="5" customFormat="1" x14ac:dyDescent="0.25">
      <c r="A84" s="192" t="s">
        <v>113</v>
      </c>
      <c r="B84" s="25" t="s">
        <v>114</v>
      </c>
      <c r="C84" s="58">
        <f>+C85</f>
        <v>0</v>
      </c>
      <c r="D84" s="26">
        <f>+D85</f>
        <v>0</v>
      </c>
      <c r="E84" s="250">
        <v>0</v>
      </c>
      <c r="F84" s="50">
        <f>+F85</f>
        <v>0</v>
      </c>
      <c r="G84" s="256">
        <f t="shared" si="7"/>
        <v>0</v>
      </c>
      <c r="H84" s="6"/>
      <c r="I84" s="6"/>
    </row>
    <row r="85" spans="1:9" s="5" customFormat="1" x14ac:dyDescent="0.25">
      <c r="A85" s="192" t="s">
        <v>115</v>
      </c>
      <c r="B85" s="25" t="s">
        <v>116</v>
      </c>
      <c r="C85" s="58">
        <f>+C86</f>
        <v>0</v>
      </c>
      <c r="D85" s="26">
        <f>+D86</f>
        <v>0</v>
      </c>
      <c r="E85" s="250">
        <v>0</v>
      </c>
      <c r="F85" s="50">
        <f>+F86</f>
        <v>0</v>
      </c>
      <c r="G85" s="256">
        <f t="shared" si="7"/>
        <v>0</v>
      </c>
      <c r="H85" s="6"/>
      <c r="I85" s="6"/>
    </row>
    <row r="86" spans="1:9" x14ac:dyDescent="0.25">
      <c r="A86" s="193" t="s">
        <v>117</v>
      </c>
      <c r="B86" s="71" t="s">
        <v>487</v>
      </c>
      <c r="C86" s="85">
        <v>0</v>
      </c>
      <c r="D86" s="28">
        <v>0</v>
      </c>
      <c r="E86" s="253">
        <v>0</v>
      </c>
      <c r="F86" s="52">
        <v>0</v>
      </c>
      <c r="G86" s="257">
        <f t="shared" si="7"/>
        <v>0</v>
      </c>
      <c r="H86" s="6"/>
      <c r="I86" s="6"/>
    </row>
    <row r="87" spans="1:9" x14ac:dyDescent="0.25">
      <c r="A87" s="192" t="s">
        <v>118</v>
      </c>
      <c r="B87" s="25" t="s">
        <v>119</v>
      </c>
      <c r="C87" s="58">
        <v>0</v>
      </c>
      <c r="D87" s="26">
        <v>0</v>
      </c>
      <c r="E87" s="250">
        <v>0</v>
      </c>
      <c r="F87" s="50">
        <v>0</v>
      </c>
      <c r="G87" s="256">
        <f t="shared" si="7"/>
        <v>0</v>
      </c>
      <c r="H87" s="6"/>
      <c r="I87" s="6"/>
    </row>
    <row r="88" spans="1:9" ht="13.5" thickBot="1" x14ac:dyDescent="0.3">
      <c r="A88" s="211"/>
      <c r="B88" s="131" t="s">
        <v>120</v>
      </c>
      <c r="C88" s="86">
        <v>47615000</v>
      </c>
      <c r="D88" s="79">
        <v>0</v>
      </c>
      <c r="E88" s="254">
        <f t="shared" ref="E88" si="8">+D88/C88</f>
        <v>0</v>
      </c>
      <c r="F88" s="80">
        <v>0</v>
      </c>
      <c r="G88" s="258">
        <f t="shared" ref="G88" si="9">F88/$F$10</f>
        <v>0</v>
      </c>
      <c r="H88" s="6"/>
      <c r="I88" s="6"/>
    </row>
    <row r="89" spans="1:9" ht="21.75" customHeight="1" x14ac:dyDescent="0.25">
      <c r="A89" s="212"/>
      <c r="B89" s="5" t="s">
        <v>1341</v>
      </c>
      <c r="C89" s="58">
        <f>C10+C88</f>
        <v>272615000</v>
      </c>
      <c r="D89" s="26">
        <f>D10+D88</f>
        <v>172123917.16</v>
      </c>
      <c r="E89" s="250">
        <f t="shared" si="6"/>
        <v>0.63138094807695833</v>
      </c>
      <c r="F89" s="50">
        <f>F10+F88</f>
        <v>304000000</v>
      </c>
      <c r="G89" s="256">
        <f t="shared" si="7"/>
        <v>1</v>
      </c>
      <c r="H89" s="6"/>
      <c r="I89" s="6"/>
    </row>
    <row r="90" spans="1:9" x14ac:dyDescent="0.25">
      <c r="A90" s="87" t="s">
        <v>643</v>
      </c>
      <c r="E90" s="1"/>
      <c r="F90" s="1"/>
      <c r="G90" s="1"/>
    </row>
    <row r="91" spans="1:9" x14ac:dyDescent="0.25">
      <c r="A91" s="314" t="s">
        <v>1375</v>
      </c>
      <c r="B91" s="314"/>
      <c r="C91" s="314"/>
      <c r="D91" s="314"/>
      <c r="E91" s="314"/>
      <c r="F91" s="314"/>
      <c r="G91" s="314"/>
    </row>
    <row r="92" spans="1:9" ht="31.5" customHeight="1" x14ac:dyDescent="0.25">
      <c r="B92" s="4"/>
    </row>
    <row r="93" spans="1:9" x14ac:dyDescent="0.25">
      <c r="A93" s="319" t="s">
        <v>358</v>
      </c>
      <c r="B93" s="319"/>
      <c r="C93" s="319" t="s">
        <v>371</v>
      </c>
      <c r="D93" s="319"/>
      <c r="E93" s="319"/>
      <c r="F93" s="319"/>
      <c r="G93" s="319"/>
    </row>
    <row r="94" spans="1:9" x14ac:dyDescent="0.25">
      <c r="A94" s="314" t="s">
        <v>335</v>
      </c>
      <c r="B94" s="314"/>
      <c r="C94" s="318" t="s">
        <v>334</v>
      </c>
      <c r="D94" s="318"/>
      <c r="E94" s="318"/>
      <c r="F94" s="318"/>
      <c r="G94" s="318"/>
    </row>
    <row r="95" spans="1:9" ht="44.25" customHeight="1" x14ac:dyDescent="0.25">
      <c r="B95" s="4"/>
    </row>
    <row r="96" spans="1:9" x14ac:dyDescent="0.25">
      <c r="A96" s="319" t="s">
        <v>372</v>
      </c>
      <c r="B96" s="319"/>
      <c r="C96" s="319"/>
      <c r="D96" s="319"/>
      <c r="E96" s="319"/>
      <c r="F96" s="319"/>
      <c r="G96" s="319"/>
    </row>
    <row r="97" spans="1:7" x14ac:dyDescent="0.25">
      <c r="A97" s="318" t="s">
        <v>373</v>
      </c>
      <c r="B97" s="318"/>
      <c r="C97" s="318"/>
      <c r="D97" s="318"/>
      <c r="E97" s="318"/>
      <c r="F97" s="318"/>
      <c r="G97" s="318"/>
    </row>
    <row r="98" spans="1:7" x14ac:dyDescent="0.25">
      <c r="A98" s="2"/>
      <c r="B98" s="2"/>
      <c r="C98" s="2"/>
      <c r="D98" s="2"/>
      <c r="E98" s="2"/>
      <c r="F98" s="16"/>
    </row>
    <row r="99" spans="1:7" x14ac:dyDescent="0.25">
      <c r="A99" s="2"/>
      <c r="B99" s="314"/>
      <c r="C99" s="314"/>
      <c r="D99" s="314"/>
      <c r="E99" s="2"/>
      <c r="F99" s="16"/>
    </row>
    <row r="100" spans="1:7" x14ac:dyDescent="0.25">
      <c r="A100" s="2"/>
      <c r="B100" s="318"/>
      <c r="C100" s="314"/>
      <c r="D100" s="318"/>
      <c r="F100" s="314"/>
      <c r="G100" s="314"/>
    </row>
  </sheetData>
  <sheetProtection selectLockedCells="1" selectUnlockedCells="1"/>
  <mergeCells count="15">
    <mergeCell ref="F100:G100"/>
    <mergeCell ref="B99:D99"/>
    <mergeCell ref="B100:D100"/>
    <mergeCell ref="A93:B93"/>
    <mergeCell ref="C93:G93"/>
    <mergeCell ref="C94:G94"/>
    <mergeCell ref="A96:G96"/>
    <mergeCell ref="A97:G97"/>
    <mergeCell ref="A94:B94"/>
    <mergeCell ref="A91:G91"/>
    <mergeCell ref="A4:G4"/>
    <mergeCell ref="A5:G5"/>
    <mergeCell ref="A6:G6"/>
    <mergeCell ref="A7:G7"/>
    <mergeCell ref="A8:G8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rstPageNumber="0" fitToHeight="0" orientation="portrait" r:id="rId1"/>
  <headerFooter alignWithMargins="0"/>
  <rowBreaks count="1" manualBreakCount="1">
    <brk id="80" max="16383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K44"/>
  <sheetViews>
    <sheetView showGridLines="0" zoomScaleNormal="100" workbookViewId="0">
      <selection activeCell="K17" sqref="K17"/>
    </sheetView>
  </sheetViews>
  <sheetFormatPr defaultColWidth="9.140625" defaultRowHeight="12.75" x14ac:dyDescent="0.25"/>
  <cols>
    <col min="1" max="1" width="16.42578125" style="1" customWidth="1"/>
    <col min="2" max="2" width="57.140625" style="1" bestFit="1" customWidth="1"/>
    <col min="3" max="6" width="14.7109375" style="1" customWidth="1"/>
    <col min="7" max="7" width="14.7109375" style="15" customWidth="1"/>
    <col min="8" max="8" width="10.140625" style="15" customWidth="1"/>
    <col min="9" max="9" width="11.42578125" style="160" customWidth="1"/>
    <col min="10" max="10" width="9.140625" style="1"/>
    <col min="11" max="11" width="10.7109375" style="1" bestFit="1" customWidth="1"/>
    <col min="12" max="16384" width="9.140625" style="1"/>
  </cols>
  <sheetData>
    <row r="1" spans="1:11" ht="18" customHeight="1" x14ac:dyDescent="0.25">
      <c r="A1" s="9"/>
      <c r="B1" s="9"/>
      <c r="C1" s="9"/>
      <c r="D1" s="9"/>
      <c r="E1" s="9"/>
      <c r="F1" s="9"/>
      <c r="G1" s="14"/>
      <c r="H1" s="14"/>
      <c r="I1" s="158"/>
    </row>
    <row r="2" spans="1:11" ht="18" customHeight="1" x14ac:dyDescent="0.25">
      <c r="A2" s="9"/>
      <c r="B2" s="9"/>
      <c r="C2" s="9"/>
      <c r="D2" s="9"/>
      <c r="E2" s="9"/>
      <c r="F2" s="9"/>
      <c r="G2" s="14"/>
      <c r="H2" s="14"/>
      <c r="I2" s="158"/>
    </row>
    <row r="3" spans="1:11" ht="18" customHeight="1" x14ac:dyDescent="0.25">
      <c r="A3" s="9"/>
      <c r="B3" s="9"/>
      <c r="C3" s="9"/>
      <c r="D3" s="9"/>
      <c r="E3" s="9"/>
      <c r="F3" s="9"/>
      <c r="G3" s="14"/>
      <c r="H3" s="14"/>
      <c r="I3" s="158"/>
    </row>
    <row r="4" spans="1:11" ht="18" customHeight="1" x14ac:dyDescent="0.25">
      <c r="A4" s="315" t="s">
        <v>343</v>
      </c>
      <c r="B4" s="315"/>
      <c r="C4" s="315"/>
      <c r="D4" s="315"/>
      <c r="E4" s="315"/>
      <c r="F4" s="315"/>
      <c r="G4" s="315"/>
      <c r="H4" s="315"/>
      <c r="I4" s="315"/>
    </row>
    <row r="5" spans="1:11" ht="18" customHeight="1" x14ac:dyDescent="0.25">
      <c r="A5" s="315" t="s">
        <v>342</v>
      </c>
      <c r="B5" s="315"/>
      <c r="C5" s="315"/>
      <c r="D5" s="315"/>
      <c r="E5" s="315"/>
      <c r="F5" s="315"/>
      <c r="G5" s="315"/>
      <c r="H5" s="315"/>
      <c r="I5" s="315"/>
    </row>
    <row r="6" spans="1:11" ht="16.5" customHeight="1" x14ac:dyDescent="0.25">
      <c r="A6" s="316" t="s">
        <v>346</v>
      </c>
      <c r="B6" s="316"/>
      <c r="C6" s="316"/>
      <c r="D6" s="316"/>
      <c r="E6" s="316"/>
      <c r="F6" s="316"/>
      <c r="G6" s="316"/>
      <c r="H6" s="316"/>
      <c r="I6" s="316"/>
    </row>
    <row r="7" spans="1:11" ht="16.5" customHeight="1" x14ac:dyDescent="0.25">
      <c r="A7" s="317" t="s">
        <v>345</v>
      </c>
      <c r="B7" s="317"/>
      <c r="C7" s="317"/>
      <c r="D7" s="317"/>
      <c r="E7" s="317"/>
      <c r="F7" s="317"/>
      <c r="G7" s="317"/>
      <c r="H7" s="317"/>
      <c r="I7" s="317"/>
    </row>
    <row r="8" spans="1:11" ht="15.75" customHeight="1" x14ac:dyDescent="0.25">
      <c r="A8" s="317" t="str">
        <f>'Anexo II - Receitas Analíticas'!A8:G8</f>
        <v>Exercício de 2023</v>
      </c>
      <c r="B8" s="317"/>
      <c r="C8" s="317"/>
      <c r="D8" s="317"/>
      <c r="E8" s="317"/>
      <c r="F8" s="317"/>
      <c r="G8" s="317"/>
      <c r="H8" s="317"/>
      <c r="I8" s="317"/>
      <c r="K8" s="8"/>
    </row>
    <row r="9" spans="1:11" ht="40.5" customHeight="1" x14ac:dyDescent="0.25">
      <c r="A9" s="89" t="s">
        <v>339</v>
      </c>
      <c r="B9" s="90" t="s">
        <v>338</v>
      </c>
      <c r="C9" s="195" t="s">
        <v>639</v>
      </c>
      <c r="D9" s="196" t="s">
        <v>1346</v>
      </c>
      <c r="E9" s="195" t="s">
        <v>1345</v>
      </c>
      <c r="F9" s="197" t="s">
        <v>1349</v>
      </c>
      <c r="G9" s="198" t="s">
        <v>1350</v>
      </c>
      <c r="H9" s="199" t="s">
        <v>400</v>
      </c>
      <c r="I9" s="200" t="s">
        <v>1351</v>
      </c>
    </row>
    <row r="10" spans="1:11" s="5" customFormat="1" ht="21.75" customHeight="1" x14ac:dyDescent="0.25">
      <c r="A10" s="43" t="s">
        <v>2</v>
      </c>
      <c r="B10" s="130" t="s">
        <v>1368</v>
      </c>
      <c r="C10" s="55">
        <f t="shared" ref="C10:G10" si="0">C11+C12+C13+C14+C16+C17+C24</f>
        <v>162060000</v>
      </c>
      <c r="D10" s="72">
        <f t="shared" si="0"/>
        <v>231922472.79999998</v>
      </c>
      <c r="E10" s="55">
        <f t="shared" si="0"/>
        <v>224825000</v>
      </c>
      <c r="F10" s="54">
        <f t="shared" si="0"/>
        <v>172034610.40000001</v>
      </c>
      <c r="G10" s="56">
        <f t="shared" si="0"/>
        <v>303810000</v>
      </c>
      <c r="H10" s="246">
        <f t="shared" ref="H10:H36" si="1">G10/$G$36</f>
        <v>0.99937500000000001</v>
      </c>
      <c r="I10" s="266">
        <f>Tabela10[[#This Row],[Proposta Orçamentária 2023]]/Tabela10[[#This Row],[Orçado
2022]]</f>
        <v>1.3513176915378629</v>
      </c>
      <c r="K10" s="7"/>
    </row>
    <row r="11" spans="1:11" x14ac:dyDescent="0.25">
      <c r="A11" s="44" t="s">
        <v>3</v>
      </c>
      <c r="B11" s="25" t="s">
        <v>344</v>
      </c>
      <c r="C11" s="58">
        <v>143000000</v>
      </c>
      <c r="D11" s="73">
        <v>191018374.25999999</v>
      </c>
      <c r="E11" s="58">
        <f>'Anexo II - Receitas Analíticas'!C12</f>
        <v>195000000</v>
      </c>
      <c r="F11" s="57">
        <f>'Anexo II - Receitas Analíticas'!D12</f>
        <v>133723568.07999998</v>
      </c>
      <c r="G11" s="49">
        <f>'Anexo II - Receitas Analíticas'!F12</f>
        <v>217750000</v>
      </c>
      <c r="H11" s="247">
        <f t="shared" si="1"/>
        <v>0.71628289473684215</v>
      </c>
      <c r="I11" s="267">
        <f>Tabela10[[#This Row],[Proposta Orçamentária 2023]]/Tabela10[[#This Row],[Orçado
2022]]</f>
        <v>1.1166666666666667</v>
      </c>
    </row>
    <row r="12" spans="1:11" s="5" customFormat="1" x14ac:dyDescent="0.25">
      <c r="A12" s="44" t="s">
        <v>32</v>
      </c>
      <c r="B12" s="25" t="s">
        <v>33</v>
      </c>
      <c r="C12" s="74">
        <v>0</v>
      </c>
      <c r="D12" s="75">
        <v>0</v>
      </c>
      <c r="E12" s="59">
        <f>'Anexo II - Receitas Analíticas'!C40</f>
        <v>0</v>
      </c>
      <c r="F12" s="60">
        <f>'Anexo II - Receitas Analíticas'!D40</f>
        <v>0</v>
      </c>
      <c r="G12" s="61">
        <f>'Anexo II - Receitas Analíticas'!F40</f>
        <v>0</v>
      </c>
      <c r="H12" s="247">
        <f t="shared" si="1"/>
        <v>0</v>
      </c>
      <c r="I12" s="267">
        <v>0</v>
      </c>
    </row>
    <row r="13" spans="1:11" s="5" customFormat="1" x14ac:dyDescent="0.25">
      <c r="A13" s="44" t="s">
        <v>38</v>
      </c>
      <c r="B13" s="25" t="s">
        <v>657</v>
      </c>
      <c r="C13" s="58">
        <v>10000</v>
      </c>
      <c r="D13" s="73">
        <v>3019.72</v>
      </c>
      <c r="E13" s="58">
        <f>'Anexo II - Receitas Analíticas'!C43</f>
        <v>5000</v>
      </c>
      <c r="F13" s="57">
        <f>'Anexo II - Receitas Analíticas'!D43</f>
        <v>2012.62</v>
      </c>
      <c r="G13" s="49">
        <f>'Anexo II - Receitas Analíticas'!F43</f>
        <v>5000</v>
      </c>
      <c r="H13" s="247">
        <f t="shared" si="1"/>
        <v>1.6447368421052631E-5</v>
      </c>
      <c r="I13" s="267">
        <f>Tabela10[[#This Row],[Proposta Orçamentária 2023]]/Tabela10[[#This Row],[Orçado
2022]]</f>
        <v>1</v>
      </c>
    </row>
    <row r="14" spans="1:11" s="5" customFormat="1" x14ac:dyDescent="0.25">
      <c r="A14" s="44" t="s">
        <v>68</v>
      </c>
      <c r="B14" s="25" t="s">
        <v>69</v>
      </c>
      <c r="C14" s="58">
        <f>C15</f>
        <v>8500000</v>
      </c>
      <c r="D14" s="73">
        <f>D15</f>
        <v>20410784.920000002</v>
      </c>
      <c r="E14" s="58">
        <f>E15</f>
        <v>14420000</v>
      </c>
      <c r="F14" s="57">
        <f>F15</f>
        <v>29801291.050000001</v>
      </c>
      <c r="G14" s="49">
        <f>G15</f>
        <v>72000000</v>
      </c>
      <c r="H14" s="247">
        <f t="shared" si="1"/>
        <v>0.23684210526315788</v>
      </c>
      <c r="I14" s="267">
        <f>Tabela10[[#This Row],[Proposta Orçamentária 2023]]/Tabela10[[#This Row],[Orçado
2022]]</f>
        <v>4.9930651872399441</v>
      </c>
    </row>
    <row r="15" spans="1:11" x14ac:dyDescent="0.25">
      <c r="A15" s="45" t="s">
        <v>72</v>
      </c>
      <c r="B15" s="71" t="s">
        <v>640</v>
      </c>
      <c r="C15" s="63">
        <v>8500000</v>
      </c>
      <c r="D15" s="76">
        <v>20410784.920000002</v>
      </c>
      <c r="E15" s="63">
        <f>'Anexo II - Receitas Analíticas'!C60</f>
        <v>14420000</v>
      </c>
      <c r="F15" s="62">
        <f>'Anexo II - Receitas Analíticas'!D60</f>
        <v>29801291.050000001</v>
      </c>
      <c r="G15" s="48">
        <f>'Anexo II - Receitas Analíticas'!F60</f>
        <v>72000000</v>
      </c>
      <c r="H15" s="248">
        <f t="shared" si="1"/>
        <v>0.23684210526315788</v>
      </c>
      <c r="I15" s="268">
        <f>Tabela10[[#This Row],[Proposta Orçamentária 2023]]/Tabela10[[#This Row],[Orçado
2022]]</f>
        <v>4.9930651872399441</v>
      </c>
    </row>
    <row r="16" spans="1:11" s="5" customFormat="1" x14ac:dyDescent="0.25">
      <c r="A16" s="44" t="s">
        <v>78</v>
      </c>
      <c r="B16" s="25" t="s">
        <v>818</v>
      </c>
      <c r="C16" s="58">
        <v>7760000</v>
      </c>
      <c r="D16" s="73">
        <v>9228181.8300000001</v>
      </c>
      <c r="E16" s="58">
        <f>'Anexo II - Receitas Analíticas'!C65</f>
        <v>10000000</v>
      </c>
      <c r="F16" s="57">
        <f>'Anexo II - Receitas Analíticas'!D65</f>
        <v>6043257</v>
      </c>
      <c r="G16" s="49">
        <f>'Anexo II - Receitas Analíticas'!F65</f>
        <v>12000000</v>
      </c>
      <c r="H16" s="247">
        <f t="shared" si="1"/>
        <v>3.9473684210526314E-2</v>
      </c>
      <c r="I16" s="267">
        <f>Tabela10[[#This Row],[Proposta Orçamentária 2023]]/Tabela10[[#This Row],[Orçado
2022]]</f>
        <v>1.2</v>
      </c>
    </row>
    <row r="17" spans="1:9" s="5" customFormat="1" x14ac:dyDescent="0.25">
      <c r="A17" s="44" t="s">
        <v>81</v>
      </c>
      <c r="B17" s="25" t="s">
        <v>82</v>
      </c>
      <c r="C17" s="58">
        <f>SUM(C18:C23)</f>
        <v>290000</v>
      </c>
      <c r="D17" s="73">
        <f>SUM(D18:D23)</f>
        <v>8169516.4800000004</v>
      </c>
      <c r="E17" s="58">
        <f>SUM(E18:E23)</f>
        <v>1800000</v>
      </c>
      <c r="F17" s="57">
        <f>SUM(F18:F23)</f>
        <v>557034.59</v>
      </c>
      <c r="G17" s="49">
        <f>'Anexo II - Receitas Analíticas'!F67</f>
        <v>1055000</v>
      </c>
      <c r="H17" s="247">
        <f t="shared" si="1"/>
        <v>3.4703947368421055E-3</v>
      </c>
      <c r="I17" s="267">
        <f>Tabela10[[#This Row],[Proposta Orçamentária 2023]]/Tabela10[[#This Row],[Orçado
2022]]</f>
        <v>0.58611111111111114</v>
      </c>
    </row>
    <row r="18" spans="1:9" x14ac:dyDescent="0.25">
      <c r="A18" s="45" t="s">
        <v>83</v>
      </c>
      <c r="B18" s="71" t="s">
        <v>84</v>
      </c>
      <c r="C18" s="63">
        <v>0</v>
      </c>
      <c r="D18" s="76">
        <v>52114.82</v>
      </c>
      <c r="E18" s="63">
        <f>'Anexo II - Receitas Analíticas'!C68</f>
        <v>0</v>
      </c>
      <c r="F18" s="62">
        <f>'Anexo II - Receitas Analíticas'!D68</f>
        <v>0</v>
      </c>
      <c r="G18" s="48">
        <f>'Anexo II - Receitas Analíticas'!F68</f>
        <v>0</v>
      </c>
      <c r="H18" s="248">
        <f t="shared" si="1"/>
        <v>0</v>
      </c>
      <c r="I18" s="268">
        <v>0</v>
      </c>
    </row>
    <row r="19" spans="1:9" x14ac:dyDescent="0.25">
      <c r="A19" s="45" t="s">
        <v>86</v>
      </c>
      <c r="B19" s="71" t="s">
        <v>87</v>
      </c>
      <c r="C19" s="63">
        <v>290000</v>
      </c>
      <c r="D19" s="76">
        <v>89100.63</v>
      </c>
      <c r="E19" s="63">
        <f>'Anexo II - Receitas Analíticas'!C70</f>
        <v>150000</v>
      </c>
      <c r="F19" s="62">
        <f>'Anexo II - Receitas Analíticas'!D70</f>
        <v>68376.59</v>
      </c>
      <c r="G19" s="48">
        <f>'Anexo II - Receitas Analíticas'!F70</f>
        <v>55000</v>
      </c>
      <c r="H19" s="248">
        <f t="shared" si="1"/>
        <v>1.8092105263157896E-4</v>
      </c>
      <c r="I19" s="268">
        <f>Tabela10[[#This Row],[Proposta Orçamentária 2023]]/Tabela10[[#This Row],[Orçado
2022]]</f>
        <v>0.36666666666666664</v>
      </c>
    </row>
    <row r="20" spans="1:9" x14ac:dyDescent="0.25">
      <c r="A20" s="45" t="s">
        <v>1347</v>
      </c>
      <c r="B20" s="71" t="s">
        <v>1348</v>
      </c>
      <c r="C20" s="63">
        <v>0</v>
      </c>
      <c r="D20" s="76">
        <v>179</v>
      </c>
      <c r="E20" s="63">
        <v>0</v>
      </c>
      <c r="F20" s="62">
        <v>0</v>
      </c>
      <c r="G20" s="48">
        <v>0</v>
      </c>
      <c r="H20" s="248">
        <f t="shared" si="1"/>
        <v>0</v>
      </c>
      <c r="I20" s="268">
        <v>0</v>
      </c>
    </row>
    <row r="21" spans="1:9" x14ac:dyDescent="0.25">
      <c r="A21" s="45" t="s">
        <v>92</v>
      </c>
      <c r="B21" s="71" t="s">
        <v>93</v>
      </c>
      <c r="C21" s="63">
        <v>0</v>
      </c>
      <c r="D21" s="76">
        <v>489.91</v>
      </c>
      <c r="E21" s="63">
        <f>'Anexo II - Receitas Analíticas'!C73</f>
        <v>0</v>
      </c>
      <c r="F21" s="62">
        <f>'Anexo II - Receitas Analíticas'!D73</f>
        <v>704.74</v>
      </c>
      <c r="G21" s="48">
        <f>'Anexo II - Receitas Analíticas'!F73</f>
        <v>0</v>
      </c>
      <c r="H21" s="248">
        <f t="shared" si="1"/>
        <v>0</v>
      </c>
      <c r="I21" s="268">
        <v>0</v>
      </c>
    </row>
    <row r="22" spans="1:9" x14ac:dyDescent="0.25">
      <c r="A22" s="45" t="s">
        <v>96</v>
      </c>
      <c r="B22" s="71" t="s">
        <v>641</v>
      </c>
      <c r="C22" s="63">
        <v>0</v>
      </c>
      <c r="D22" s="76">
        <v>8027632.1200000001</v>
      </c>
      <c r="E22" s="63">
        <f>'Anexo II - Receitas Analíticas'!C75</f>
        <v>1650000</v>
      </c>
      <c r="F22" s="62">
        <f>'Anexo II - Receitas Analíticas'!D75</f>
        <v>487953.26</v>
      </c>
      <c r="G22" s="48">
        <f>'Anexo II - Receitas Analíticas'!F75</f>
        <v>1000000</v>
      </c>
      <c r="H22" s="248">
        <f t="shared" si="1"/>
        <v>3.2894736842105261E-3</v>
      </c>
      <c r="I22" s="268">
        <f>Tabela10[[#This Row],[Proposta Orçamentária 2023]]/Tabela10[[#This Row],[Orçado
2022]]</f>
        <v>0.60606060606060608</v>
      </c>
    </row>
    <row r="23" spans="1:9" x14ac:dyDescent="0.25">
      <c r="A23" s="45" t="s">
        <v>399</v>
      </c>
      <c r="B23" s="71" t="s">
        <v>656</v>
      </c>
      <c r="C23" s="63">
        <v>0</v>
      </c>
      <c r="D23" s="76">
        <v>0</v>
      </c>
      <c r="E23" s="63">
        <v>0</v>
      </c>
      <c r="F23" s="62">
        <v>0</v>
      </c>
      <c r="G23" s="48">
        <v>0</v>
      </c>
      <c r="H23" s="248">
        <f t="shared" si="1"/>
        <v>0</v>
      </c>
      <c r="I23" s="268">
        <v>0</v>
      </c>
    </row>
    <row r="24" spans="1:9" x14ac:dyDescent="0.25">
      <c r="A24" s="44" t="s">
        <v>121</v>
      </c>
      <c r="B24" s="25" t="s">
        <v>98</v>
      </c>
      <c r="C24" s="58">
        <v>2500000</v>
      </c>
      <c r="D24" s="73">
        <v>3092595.59</v>
      </c>
      <c r="E24" s="58">
        <f>'Anexo II - Receitas Analíticas'!C77</f>
        <v>3600000</v>
      </c>
      <c r="F24" s="57">
        <f>'Anexo II - Receitas Analíticas'!D77</f>
        <v>1907447.06</v>
      </c>
      <c r="G24" s="49">
        <f>+'Anexo II - Receitas Analíticas'!F77</f>
        <v>1000000</v>
      </c>
      <c r="H24" s="247">
        <f t="shared" si="1"/>
        <v>3.2894736842105261E-3</v>
      </c>
      <c r="I24" s="267">
        <f>Tabela10[[#This Row],[Proposta Orçamentária 2023]]/Tabela10[[#This Row],[Orçado
2022]]</f>
        <v>0.27777777777777779</v>
      </c>
    </row>
    <row r="25" spans="1:9" s="5" customFormat="1" ht="21.75" customHeight="1" x14ac:dyDescent="0.25">
      <c r="A25" s="43" t="s">
        <v>99</v>
      </c>
      <c r="B25" s="130" t="s">
        <v>1369</v>
      </c>
      <c r="C25" s="55">
        <f>+C26+C28+C32+C33+C34</f>
        <v>140000</v>
      </c>
      <c r="D25" s="72">
        <f>+D26+D28+D32+D33+D34</f>
        <v>159424.32000000001</v>
      </c>
      <c r="E25" s="55">
        <f t="shared" ref="E25:G25" si="2">+E26+E28+E32+E33+E34</f>
        <v>175000</v>
      </c>
      <c r="F25" s="54">
        <f t="shared" si="2"/>
        <v>89306.76</v>
      </c>
      <c r="G25" s="56">
        <f t="shared" si="2"/>
        <v>190000</v>
      </c>
      <c r="H25" s="246">
        <f t="shared" si="1"/>
        <v>6.2500000000000001E-4</v>
      </c>
      <c r="I25" s="266">
        <f>Tabela10[[#This Row],[Proposta Orçamentária 2023]]/Tabela10[[#This Row],[Orçado
2022]]</f>
        <v>1.0857142857142856</v>
      </c>
    </row>
    <row r="26" spans="1:9" s="5" customFormat="1" x14ac:dyDescent="0.25">
      <c r="A26" s="44" t="s">
        <v>100</v>
      </c>
      <c r="B26" s="25" t="s">
        <v>654</v>
      </c>
      <c r="C26" s="58">
        <v>0</v>
      </c>
      <c r="D26" s="73">
        <v>0</v>
      </c>
      <c r="E26" s="58">
        <f>'Anexo II - Receitas Analíticas'!C80</f>
        <v>0</v>
      </c>
      <c r="F26" s="57">
        <f>'Anexo II - Receitas Analíticas'!D80</f>
        <v>0</v>
      </c>
      <c r="G26" s="49">
        <f>'Anexo II - Receitas Analíticas'!F80</f>
        <v>0</v>
      </c>
      <c r="H26" s="247">
        <f t="shared" si="1"/>
        <v>0</v>
      </c>
      <c r="I26" s="267">
        <v>0</v>
      </c>
    </row>
    <row r="27" spans="1:9" hidden="1" x14ac:dyDescent="0.25">
      <c r="A27" s="45" t="s">
        <v>101</v>
      </c>
      <c r="B27" s="71" t="s">
        <v>102</v>
      </c>
      <c r="C27" s="63">
        <v>0</v>
      </c>
      <c r="D27" s="76">
        <v>0</v>
      </c>
      <c r="E27" s="63">
        <f>'Anexo II - Receitas Analíticas'!C27</f>
        <v>2500000</v>
      </c>
      <c r="F27" s="62">
        <f>'Anexo II - Receitas Analíticas'!D27</f>
        <v>1646178.86</v>
      </c>
      <c r="G27" s="48" t="e">
        <f>+'Anexo II - Receitas Analíticas'!#REF!</f>
        <v>#REF!</v>
      </c>
      <c r="H27" s="248" t="e">
        <f t="shared" si="1"/>
        <v>#REF!</v>
      </c>
      <c r="I27" s="268" t="e">
        <f>Tabela10[[#This Row],[Proposta Orçamentária 2023]]/Tabela10[[#This Row],[Orçado
2022]]</f>
        <v>#REF!</v>
      </c>
    </row>
    <row r="28" spans="1:9" s="5" customFormat="1" x14ac:dyDescent="0.25">
      <c r="A28" s="44" t="s">
        <v>103</v>
      </c>
      <c r="B28" s="25" t="s">
        <v>655</v>
      </c>
      <c r="C28" s="58">
        <v>0</v>
      </c>
      <c r="D28" s="73">
        <v>0</v>
      </c>
      <c r="E28" s="58">
        <f>'Anexo II - Receitas Analíticas'!C81</f>
        <v>0</v>
      </c>
      <c r="F28" s="57">
        <f>'Anexo II - Receitas Analíticas'!D81</f>
        <v>0</v>
      </c>
      <c r="G28" s="49">
        <f>'Anexo II - Receitas Analíticas'!F81</f>
        <v>0</v>
      </c>
      <c r="H28" s="247">
        <f t="shared" si="1"/>
        <v>0</v>
      </c>
      <c r="I28" s="267">
        <v>0</v>
      </c>
    </row>
    <row r="29" spans="1:9" hidden="1" x14ac:dyDescent="0.25">
      <c r="A29" s="45" t="s">
        <v>105</v>
      </c>
      <c r="B29" s="71" t="s">
        <v>106</v>
      </c>
      <c r="C29" s="63">
        <v>0</v>
      </c>
      <c r="D29" s="76">
        <v>0</v>
      </c>
      <c r="E29" s="63">
        <f>'Anexo II - Receitas Analíticas'!C29</f>
        <v>2400000</v>
      </c>
      <c r="F29" s="62">
        <f>'Anexo II - Receitas Analíticas'!D29</f>
        <v>1450726.45</v>
      </c>
      <c r="G29" s="48" t="e">
        <f>+'Anexo II - Receitas Analíticas'!#REF!</f>
        <v>#REF!</v>
      </c>
      <c r="H29" s="248" t="e">
        <f t="shared" si="1"/>
        <v>#REF!</v>
      </c>
      <c r="I29" s="268" t="e">
        <f>Tabela10[[#This Row],[Proposta Orçamentária 2023]]/Tabela10[[#This Row],[Orçado
2022]]</f>
        <v>#REF!</v>
      </c>
    </row>
    <row r="30" spans="1:9" hidden="1" x14ac:dyDescent="0.25">
      <c r="A30" s="45" t="s">
        <v>107</v>
      </c>
      <c r="B30" s="71" t="s">
        <v>108</v>
      </c>
      <c r="C30" s="63">
        <v>0</v>
      </c>
      <c r="D30" s="76">
        <v>0</v>
      </c>
      <c r="E30" s="63">
        <f>'Anexo II - Receitas Analíticas'!C30</f>
        <v>17000000</v>
      </c>
      <c r="F30" s="62">
        <f>'Anexo II - Receitas Analíticas'!D30</f>
        <v>11067892.279999999</v>
      </c>
      <c r="G30" s="48" t="e">
        <f>+'Anexo II - Receitas Analíticas'!#REF!</f>
        <v>#REF!</v>
      </c>
      <c r="H30" s="248" t="e">
        <f t="shared" si="1"/>
        <v>#REF!</v>
      </c>
      <c r="I30" s="268" t="e">
        <f>Tabela10[[#This Row],[Proposta Orçamentária 2023]]/Tabela10[[#This Row],[Orçado
2022]]</f>
        <v>#REF!</v>
      </c>
    </row>
    <row r="31" spans="1:9" hidden="1" x14ac:dyDescent="0.25">
      <c r="A31" s="45" t="s">
        <v>109</v>
      </c>
      <c r="B31" s="71" t="s">
        <v>110</v>
      </c>
      <c r="C31" s="63">
        <v>0</v>
      </c>
      <c r="D31" s="76">
        <v>0</v>
      </c>
      <c r="E31" s="63">
        <f>'Anexo II - Receitas Analíticas'!C31</f>
        <v>13500000</v>
      </c>
      <c r="F31" s="62">
        <f>'Anexo II - Receitas Analíticas'!D31</f>
        <v>10017031.18</v>
      </c>
      <c r="G31" s="48" t="e">
        <f>+'Anexo II - Receitas Analíticas'!#REF!</f>
        <v>#REF!</v>
      </c>
      <c r="H31" s="248" t="e">
        <f t="shared" si="1"/>
        <v>#REF!</v>
      </c>
      <c r="I31" s="268" t="e">
        <f>Tabela10[[#This Row],[Proposta Orçamentária 2023]]/Tabela10[[#This Row],[Orçado
2022]]</f>
        <v>#REF!</v>
      </c>
    </row>
    <row r="32" spans="1:9" s="5" customFormat="1" x14ac:dyDescent="0.25">
      <c r="A32" s="44" t="s">
        <v>111</v>
      </c>
      <c r="B32" s="25" t="s">
        <v>653</v>
      </c>
      <c r="C32" s="58">
        <v>140000</v>
      </c>
      <c r="D32" s="73">
        <v>159424.32000000001</v>
      </c>
      <c r="E32" s="58">
        <f>'Anexo II - Receitas Analíticas'!C82</f>
        <v>175000</v>
      </c>
      <c r="F32" s="57">
        <f>'Anexo II - Receitas Analíticas'!D82</f>
        <v>89306.76</v>
      </c>
      <c r="G32" s="49">
        <f>'Anexo II - Receitas Analíticas'!F82</f>
        <v>190000</v>
      </c>
      <c r="H32" s="247">
        <f t="shared" si="1"/>
        <v>6.2500000000000001E-4</v>
      </c>
      <c r="I32" s="267">
        <f>Tabela10[[#This Row],[Proposta Orçamentária 2023]]/Tabela10[[#This Row],[Orçado
2022]]</f>
        <v>1.0857142857142856</v>
      </c>
    </row>
    <row r="33" spans="1:11" s="5" customFormat="1" x14ac:dyDescent="0.25">
      <c r="A33" s="44" t="s">
        <v>113</v>
      </c>
      <c r="B33" s="25" t="s">
        <v>114</v>
      </c>
      <c r="C33" s="58">
        <v>0</v>
      </c>
      <c r="D33" s="73">
        <v>0</v>
      </c>
      <c r="E33" s="58">
        <f>'Anexo II - Receitas Analíticas'!C84</f>
        <v>0</v>
      </c>
      <c r="F33" s="57">
        <f>'Anexo II - Receitas Analíticas'!D84</f>
        <v>0</v>
      </c>
      <c r="G33" s="49">
        <f>'Anexo II - Receitas Analíticas'!F84</f>
        <v>0</v>
      </c>
      <c r="H33" s="247">
        <f t="shared" si="1"/>
        <v>0</v>
      </c>
      <c r="I33" s="267">
        <v>0</v>
      </c>
    </row>
    <row r="34" spans="1:11" s="5" customFormat="1" x14ac:dyDescent="0.25">
      <c r="A34" s="44" t="s">
        <v>118</v>
      </c>
      <c r="B34" s="25" t="s">
        <v>119</v>
      </c>
      <c r="C34" s="58">
        <v>0</v>
      </c>
      <c r="D34" s="73">
        <v>0</v>
      </c>
      <c r="E34" s="58">
        <f>'Anexo II - Receitas Analíticas'!C85</f>
        <v>0</v>
      </c>
      <c r="F34" s="57">
        <f>'Anexo II - Receitas Analíticas'!D85</f>
        <v>0</v>
      </c>
      <c r="G34" s="49">
        <f>+'Anexo II - Receitas Analíticas'!F87</f>
        <v>0</v>
      </c>
      <c r="H34" s="247">
        <f t="shared" si="1"/>
        <v>0</v>
      </c>
      <c r="I34" s="267">
        <v>0</v>
      </c>
    </row>
    <row r="35" spans="1:11" s="5" customFormat="1" ht="21.75" customHeight="1" thickBot="1" x14ac:dyDescent="0.3">
      <c r="A35" s="44"/>
      <c r="B35" s="25" t="s">
        <v>120</v>
      </c>
      <c r="C35" s="58">
        <v>1800000</v>
      </c>
      <c r="D35" s="73">
        <v>0</v>
      </c>
      <c r="E35" s="58">
        <f>'Anexo II - Receitas Analíticas'!C88</f>
        <v>47615000</v>
      </c>
      <c r="F35" s="57">
        <f>'Anexo II - Receitas Analíticas'!D88</f>
        <v>0</v>
      </c>
      <c r="G35" s="49">
        <f>'Anexo II - Receitas Analíticas'!F88</f>
        <v>0</v>
      </c>
      <c r="H35" s="247">
        <f t="shared" si="1"/>
        <v>0</v>
      </c>
      <c r="I35" s="267">
        <f>Tabela10[[#This Row],[Proposta Orçamentária 2023]]/Tabela10[[#This Row],[Orçado
2022]]</f>
        <v>0</v>
      </c>
    </row>
    <row r="36" spans="1:11" ht="21.75" customHeight="1" x14ac:dyDescent="0.25">
      <c r="A36" s="128"/>
      <c r="B36" s="129" t="s">
        <v>593</v>
      </c>
      <c r="C36" s="201">
        <f>C10+C25+C35</f>
        <v>164000000</v>
      </c>
      <c r="D36" s="202">
        <f>D10+D25+D35</f>
        <v>232081897.11999997</v>
      </c>
      <c r="E36" s="201">
        <f>E10+E25+E35</f>
        <v>272615000</v>
      </c>
      <c r="F36" s="203">
        <f>F10+F25+F35</f>
        <v>172123917.16</v>
      </c>
      <c r="G36" s="204">
        <f>G10+G25+G35</f>
        <v>304000000</v>
      </c>
      <c r="H36" s="249">
        <f t="shared" si="1"/>
        <v>1</v>
      </c>
      <c r="I36" s="269" t="s">
        <v>1352</v>
      </c>
      <c r="K36" s="10"/>
    </row>
    <row r="37" spans="1:11" s="5" customFormat="1" x14ac:dyDescent="0.25">
      <c r="A37" s="46" t="str">
        <f>'Anexo II - Receitas Analíticas'!A90</f>
        <v>Decisão Plenária nº PL-</v>
      </c>
      <c r="B37" s="21"/>
      <c r="C37" s="10"/>
      <c r="D37" s="10"/>
      <c r="E37" s="10"/>
      <c r="F37" s="10"/>
      <c r="G37" s="53"/>
      <c r="H37" s="53"/>
      <c r="I37" s="159"/>
      <c r="J37" s="6"/>
      <c r="K37" s="6"/>
    </row>
    <row r="38" spans="1:11" x14ac:dyDescent="0.25">
      <c r="A38" s="314" t="str">
        <f>'Anexo II - Receitas Analíticas'!A91:G91</f>
        <v>Brasília-DF, Dezembro de 2022</v>
      </c>
      <c r="B38" s="314"/>
      <c r="C38" s="314"/>
      <c r="D38" s="314"/>
      <c r="E38" s="314"/>
      <c r="F38" s="314"/>
      <c r="G38" s="314"/>
      <c r="H38" s="314"/>
      <c r="I38" s="314"/>
    </row>
    <row r="39" spans="1:11" ht="31.5" customHeight="1" x14ac:dyDescent="0.25">
      <c r="B39" s="4"/>
      <c r="E39" s="3"/>
      <c r="G39" s="16"/>
      <c r="H39" s="16"/>
    </row>
    <row r="40" spans="1:11" x14ac:dyDescent="0.25">
      <c r="A40" s="319" t="str">
        <f>'Anexo II - Receitas Analíticas'!A93:B93</f>
        <v>Júlio César Gonçalves de Miranda</v>
      </c>
      <c r="B40" s="319"/>
      <c r="C40" s="319" t="str">
        <f>'Anexo II - Receitas Analíticas'!C93:G93</f>
        <v>Jadir José Alberti</v>
      </c>
      <c r="D40" s="319"/>
      <c r="E40" s="319"/>
      <c r="F40" s="319"/>
      <c r="G40" s="319"/>
      <c r="H40" s="319"/>
      <c r="I40" s="319"/>
    </row>
    <row r="41" spans="1:11" x14ac:dyDescent="0.25">
      <c r="A41" s="314" t="s">
        <v>335</v>
      </c>
      <c r="B41" s="314"/>
      <c r="C41" s="318" t="s">
        <v>334</v>
      </c>
      <c r="D41" s="318"/>
      <c r="E41" s="318"/>
      <c r="F41" s="318"/>
      <c r="G41" s="318"/>
      <c r="H41" s="318"/>
      <c r="I41" s="318"/>
    </row>
    <row r="42" spans="1:11" ht="44.25" customHeight="1" x14ac:dyDescent="0.25">
      <c r="B42" s="4"/>
      <c r="E42" s="3"/>
      <c r="G42" s="16"/>
      <c r="H42" s="16"/>
    </row>
    <row r="43" spans="1:11" ht="13.5" customHeight="1" x14ac:dyDescent="0.25">
      <c r="A43" s="319" t="str">
        <f>'Anexo II - Receitas Analíticas'!A96:G96</f>
        <v>Eng. Civ. Joel Krüger</v>
      </c>
      <c r="B43" s="319"/>
      <c r="C43" s="319"/>
      <c r="D43" s="319"/>
      <c r="E43" s="319"/>
      <c r="F43" s="319"/>
      <c r="G43" s="319"/>
      <c r="H43" s="319"/>
      <c r="I43" s="319"/>
    </row>
    <row r="44" spans="1:11" x14ac:dyDescent="0.25">
      <c r="A44" s="318" t="str">
        <f>'Anexo II - Receitas Analíticas'!A97:G97</f>
        <v>Presidente do Confea</v>
      </c>
      <c r="B44" s="318"/>
      <c r="C44" s="318"/>
      <c r="D44" s="318"/>
      <c r="E44" s="318"/>
      <c r="F44" s="318"/>
      <c r="G44" s="318"/>
      <c r="H44" s="318"/>
      <c r="I44" s="318"/>
    </row>
  </sheetData>
  <sheetProtection selectLockedCells="1" selectUnlockedCells="1"/>
  <mergeCells count="12">
    <mergeCell ref="A4:I4"/>
    <mergeCell ref="A5:I5"/>
    <mergeCell ref="A6:I6"/>
    <mergeCell ref="A7:I7"/>
    <mergeCell ref="A8:I8"/>
    <mergeCell ref="A43:I43"/>
    <mergeCell ref="A44:I44"/>
    <mergeCell ref="A41:B41"/>
    <mergeCell ref="A40:B40"/>
    <mergeCell ref="A38:I38"/>
    <mergeCell ref="C40:I40"/>
    <mergeCell ref="C41:I41"/>
  </mergeCells>
  <phoneticPr fontId="21" type="noConversion"/>
  <pageMargins left="0.25" right="0.25" top="0.75" bottom="0.75" header="0.3" footer="0.3"/>
  <pageSetup paperSize="9" scale="77" firstPageNumber="0" orientation="landscape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3DB1-B086-47AF-9EDF-BBDBD97BD08E}">
  <sheetPr>
    <tabColor theme="4" tint="0.79998168889431442"/>
    <pageSetUpPr fitToPage="1"/>
  </sheetPr>
  <dimension ref="A1:U186"/>
  <sheetViews>
    <sheetView showGridLines="0" zoomScaleNormal="100" workbookViewId="0">
      <selection activeCell="E10" sqref="E10"/>
    </sheetView>
  </sheetViews>
  <sheetFormatPr defaultColWidth="9.140625" defaultRowHeight="15" x14ac:dyDescent="0.25"/>
  <cols>
    <col min="1" max="1" width="19.85546875" style="1" customWidth="1"/>
    <col min="2" max="2" width="63.140625" style="1" customWidth="1"/>
    <col min="3" max="4" width="14.7109375" style="1" customWidth="1"/>
    <col min="5" max="5" width="10.42578125" style="101" customWidth="1"/>
    <col min="6" max="6" width="14.7109375" style="168" customWidth="1"/>
    <col min="7" max="7" width="9.7109375" style="228" customWidth="1"/>
    <col min="8" max="8" width="10.42578125" style="168" customWidth="1"/>
    <col min="9" max="10" width="14.7109375" style="15" customWidth="1"/>
    <col min="11" max="14" width="14.7109375" customWidth="1"/>
    <col min="15" max="19" width="14.7109375" style="1" customWidth="1"/>
    <col min="20" max="20" width="12" style="1" customWidth="1"/>
    <col min="21" max="21" width="13.85546875" style="1" bestFit="1" customWidth="1"/>
    <col min="22" max="16384" width="9.140625" style="1"/>
  </cols>
  <sheetData>
    <row r="1" spans="1:21" ht="18" customHeight="1" x14ac:dyDescent="0.25">
      <c r="A1" s="9"/>
      <c r="B1" s="9"/>
      <c r="C1" s="9"/>
      <c r="D1" s="9"/>
      <c r="E1" s="9"/>
      <c r="F1" s="14"/>
      <c r="G1" s="221"/>
      <c r="H1" s="14"/>
      <c r="I1" s="14"/>
      <c r="J1" s="14"/>
      <c r="K1" s="1"/>
      <c r="L1" s="1"/>
      <c r="M1" s="1"/>
      <c r="N1" s="1"/>
    </row>
    <row r="2" spans="1:21" ht="18" customHeight="1" x14ac:dyDescent="0.25">
      <c r="A2" s="9"/>
      <c r="B2" s="9"/>
      <c r="C2" s="9"/>
      <c r="D2" s="9"/>
      <c r="E2" s="9"/>
      <c r="F2" s="14"/>
      <c r="G2" s="221"/>
      <c r="H2" s="14"/>
      <c r="I2" s="14"/>
      <c r="J2" s="14"/>
      <c r="K2" s="1"/>
      <c r="L2" s="1"/>
      <c r="M2" s="1"/>
      <c r="N2" s="1"/>
    </row>
    <row r="3" spans="1:21" ht="18" customHeight="1" x14ac:dyDescent="0.25">
      <c r="A3" s="9"/>
      <c r="B3" s="9"/>
      <c r="C3" s="9"/>
      <c r="D3" s="9"/>
      <c r="E3" s="9"/>
      <c r="F3" s="14"/>
      <c r="G3" s="221"/>
      <c r="H3" s="14"/>
      <c r="I3" s="14"/>
      <c r="J3" s="14"/>
      <c r="K3" s="1"/>
      <c r="L3" s="1"/>
      <c r="M3" s="1"/>
      <c r="N3" s="1"/>
    </row>
    <row r="4" spans="1:21" ht="18" customHeight="1" x14ac:dyDescent="0.25">
      <c r="A4" s="315" t="s">
        <v>343</v>
      </c>
      <c r="B4" s="315"/>
      <c r="C4" s="315"/>
      <c r="D4" s="315"/>
      <c r="E4" s="315"/>
      <c r="F4" s="315"/>
      <c r="G4" s="315"/>
      <c r="H4" s="315"/>
      <c r="I4" s="115"/>
      <c r="J4" s="115"/>
      <c r="K4" s="1"/>
      <c r="L4" s="1"/>
      <c r="M4" s="1"/>
      <c r="N4" s="1"/>
    </row>
    <row r="5" spans="1:21" ht="18" customHeight="1" x14ac:dyDescent="0.25">
      <c r="A5" s="315" t="s">
        <v>342</v>
      </c>
      <c r="B5" s="315"/>
      <c r="C5" s="315"/>
      <c r="D5" s="315"/>
      <c r="E5" s="315"/>
      <c r="F5" s="315"/>
      <c r="G5" s="315"/>
      <c r="H5" s="315"/>
      <c r="I5" s="115"/>
      <c r="J5" s="115"/>
      <c r="K5" s="1"/>
      <c r="L5" s="1"/>
      <c r="M5" s="1"/>
      <c r="N5" s="1"/>
      <c r="Q5" s="10"/>
    </row>
    <row r="6" spans="1:21" ht="16.5" customHeight="1" x14ac:dyDescent="0.25">
      <c r="A6" s="316" t="s">
        <v>352</v>
      </c>
      <c r="B6" s="316"/>
      <c r="C6" s="316"/>
      <c r="D6" s="316"/>
      <c r="E6" s="316"/>
      <c r="F6" s="316"/>
      <c r="G6" s="316"/>
      <c r="H6" s="316"/>
      <c r="I6" s="114"/>
      <c r="J6" s="114"/>
      <c r="K6" s="1"/>
      <c r="L6" s="1"/>
      <c r="M6" s="1"/>
      <c r="N6" s="1"/>
    </row>
    <row r="7" spans="1:21" ht="16.5" customHeight="1" x14ac:dyDescent="0.25">
      <c r="A7" s="317" t="s">
        <v>351</v>
      </c>
      <c r="B7" s="317"/>
      <c r="C7" s="317"/>
      <c r="D7" s="317"/>
      <c r="E7" s="317"/>
      <c r="F7" s="317"/>
      <c r="G7" s="317"/>
      <c r="H7" s="317"/>
      <c r="I7" s="113"/>
      <c r="J7" s="113"/>
      <c r="K7" s="1"/>
      <c r="L7" s="1"/>
      <c r="M7" s="1"/>
      <c r="N7" s="1"/>
    </row>
    <row r="8" spans="1:21" ht="15.75" customHeight="1" x14ac:dyDescent="0.25">
      <c r="A8" s="317" t="str">
        <f>'Anexo II - Receitas Analíticas'!A8:G8</f>
        <v>Exercício de 2023</v>
      </c>
      <c r="B8" s="317"/>
      <c r="C8" s="317"/>
      <c r="D8" s="317"/>
      <c r="E8" s="317"/>
      <c r="F8" s="317"/>
      <c r="G8" s="317"/>
      <c r="H8" s="317"/>
      <c r="I8" s="113"/>
      <c r="J8" s="113"/>
      <c r="K8" s="1"/>
      <c r="L8" s="8"/>
      <c r="M8" s="1"/>
      <c r="N8" s="1"/>
    </row>
    <row r="9" spans="1:21" ht="39.75" customHeight="1" x14ac:dyDescent="0.25">
      <c r="A9" s="180" t="s">
        <v>339</v>
      </c>
      <c r="B9" s="181" t="s">
        <v>338</v>
      </c>
      <c r="C9" s="182" t="s">
        <v>1340</v>
      </c>
      <c r="D9" s="183" t="s">
        <v>1360</v>
      </c>
      <c r="E9" s="184" t="s">
        <v>1374</v>
      </c>
      <c r="F9" s="185" t="s">
        <v>1350</v>
      </c>
      <c r="G9" s="229" t="s">
        <v>652</v>
      </c>
      <c r="H9" s="186" t="s">
        <v>1351</v>
      </c>
      <c r="I9" s="187" t="s">
        <v>644</v>
      </c>
      <c r="J9" s="188" t="s">
        <v>1361</v>
      </c>
      <c r="K9" s="188" t="s">
        <v>646</v>
      </c>
      <c r="L9" s="216" t="s">
        <v>647</v>
      </c>
      <c r="M9" s="189" t="s">
        <v>648</v>
      </c>
      <c r="N9" s="190" t="s">
        <v>649</v>
      </c>
      <c r="O9" s="220" t="s">
        <v>645</v>
      </c>
      <c r="P9" s="219" t="s">
        <v>650</v>
      </c>
      <c r="Q9" s="95" t="s">
        <v>651</v>
      </c>
      <c r="R9" s="95" t="s">
        <v>1362</v>
      </c>
      <c r="S9" s="96" t="s">
        <v>1363</v>
      </c>
    </row>
    <row r="10" spans="1:21" s="5" customFormat="1" ht="27.75" customHeight="1" x14ac:dyDescent="0.25">
      <c r="A10" s="44" t="s">
        <v>122</v>
      </c>
      <c r="B10" s="25" t="s">
        <v>123</v>
      </c>
      <c r="C10" s="91">
        <f>+C11+C140</f>
        <v>272615000</v>
      </c>
      <c r="D10" s="20">
        <f>+D11+D140</f>
        <v>59493607.339999996</v>
      </c>
      <c r="E10" s="242">
        <f>+D10/C10</f>
        <v>0.21823306619224914</v>
      </c>
      <c r="F10" s="161">
        <f>SUM(Tabela11[[#This Row],[GOVERNANÇA
Direção e Liderança]:[GESTÃO
Infraestrutura
]])</f>
        <v>304000000</v>
      </c>
      <c r="G10" s="222">
        <f t="shared" ref="G10:G41" si="0">+F10/$F$10</f>
        <v>1</v>
      </c>
      <c r="H10" s="230">
        <f>Tabela11[[#This Row],[Proposta Orçamentária 2023]]/Tabela11[[#This Row],[Dotação Atual
2022]]</f>
        <v>1.1151257267575152</v>
      </c>
      <c r="I10" s="99">
        <f t="shared" ref="I10:S10" si="1">+I11+I140</f>
        <v>33343930</v>
      </c>
      <c r="J10" s="99">
        <f t="shared" si="1"/>
        <v>35990495</v>
      </c>
      <c r="K10" s="99">
        <f t="shared" si="1"/>
        <v>49634035</v>
      </c>
      <c r="L10" s="217">
        <f t="shared" si="1"/>
        <v>20315525</v>
      </c>
      <c r="M10" s="99">
        <f t="shared" si="1"/>
        <v>1682585</v>
      </c>
      <c r="N10" s="99">
        <f t="shared" si="1"/>
        <v>200000</v>
      </c>
      <c r="O10" s="217">
        <f t="shared" si="1"/>
        <v>21924460</v>
      </c>
      <c r="P10" s="99">
        <f t="shared" si="1"/>
        <v>61169315</v>
      </c>
      <c r="Q10" s="99">
        <f t="shared" si="1"/>
        <v>24779035</v>
      </c>
      <c r="R10" s="99">
        <f t="shared" si="1"/>
        <v>36284580</v>
      </c>
      <c r="S10" s="191">
        <f t="shared" si="1"/>
        <v>18676040</v>
      </c>
      <c r="U10" s="7"/>
    </row>
    <row r="11" spans="1:21" s="5" customFormat="1" ht="19.5" customHeight="1" x14ac:dyDescent="0.25">
      <c r="A11" s="44" t="s">
        <v>124</v>
      </c>
      <c r="B11" s="25" t="s">
        <v>362</v>
      </c>
      <c r="C11" s="91">
        <f>+C12+C33+C116+C121+C126+C129+C138</f>
        <v>252873147.31</v>
      </c>
      <c r="D11" s="20">
        <f>+D12+D33+D116+D121+D126+D129+D138</f>
        <v>59481480.279999994</v>
      </c>
      <c r="E11" s="242">
        <f t="shared" ref="E11:E42" si="2">+D11/C11</f>
        <v>0.23522260434826237</v>
      </c>
      <c r="F11" s="161">
        <f>SUM(Tabela11[[#This Row],[GOVERNANÇA
Direção e Liderança]:[GESTÃO
Infraestrutura
]])</f>
        <v>280680000</v>
      </c>
      <c r="G11" s="222">
        <f t="shared" si="0"/>
        <v>0.92328947368421055</v>
      </c>
      <c r="H11" s="230">
        <f>Tabela11[[#This Row],[Proposta Orçamentária 2023]]/Tabela11[[#This Row],[Dotação Atual
2022]]</f>
        <v>1.1099636437708085</v>
      </c>
      <c r="I11" s="20">
        <f t="shared" ref="I11:S11" si="3">+I12+I33+I116+I121+I126+I129+I138</f>
        <v>33343930</v>
      </c>
      <c r="J11" s="20">
        <f t="shared" si="3"/>
        <v>35990495</v>
      </c>
      <c r="K11" s="20">
        <f t="shared" si="3"/>
        <v>29369035</v>
      </c>
      <c r="L11" s="119">
        <f t="shared" si="3"/>
        <v>20315525</v>
      </c>
      <c r="M11" s="20">
        <f t="shared" si="3"/>
        <v>1682585</v>
      </c>
      <c r="N11" s="20">
        <f t="shared" si="3"/>
        <v>200000</v>
      </c>
      <c r="O11" s="119">
        <f t="shared" si="3"/>
        <v>21924460</v>
      </c>
      <c r="P11" s="20">
        <f t="shared" si="3"/>
        <v>61169315</v>
      </c>
      <c r="Q11" s="20">
        <f t="shared" si="3"/>
        <v>24779035</v>
      </c>
      <c r="R11" s="20">
        <f t="shared" si="3"/>
        <v>34834580</v>
      </c>
      <c r="S11" s="7">
        <f t="shared" si="3"/>
        <v>17071040</v>
      </c>
      <c r="T11" s="7"/>
      <c r="U11" s="7"/>
    </row>
    <row r="12" spans="1:21" s="5" customFormat="1" ht="14.1" customHeight="1" x14ac:dyDescent="0.25">
      <c r="A12" s="192" t="s">
        <v>125</v>
      </c>
      <c r="B12" s="23" t="s">
        <v>126</v>
      </c>
      <c r="C12" s="68">
        <f>+C13+C29</f>
        <v>71151500</v>
      </c>
      <c r="D12" s="11">
        <f>+D13+D29</f>
        <v>28562740.449999996</v>
      </c>
      <c r="E12" s="243">
        <f t="shared" si="2"/>
        <v>0.40143553473925347</v>
      </c>
      <c r="F12" s="162">
        <f>SUM(Tabela11[[#This Row],[GOVERNANÇA
Direção e Liderança]:[GESTÃO
Infraestrutura
]])</f>
        <v>87282000</v>
      </c>
      <c r="G12" s="223">
        <f t="shared" si="0"/>
        <v>0.28711184210526314</v>
      </c>
      <c r="H12" s="231">
        <f>Tabela11[[#This Row],[Proposta Orçamentária 2023]]/Tabela11[[#This Row],[Dotação Atual
2022]]</f>
        <v>1.2267063941027245</v>
      </c>
      <c r="I12" s="20">
        <f>+I13+I29</f>
        <v>15123080</v>
      </c>
      <c r="J12" s="20">
        <f t="shared" ref="J12" si="4">+J13+J29</f>
        <v>10533425</v>
      </c>
      <c r="K12" s="20">
        <f t="shared" ref="K12:S12" si="5">+K13+K29</f>
        <v>6385390</v>
      </c>
      <c r="L12" s="119">
        <f t="shared" si="5"/>
        <v>13517635</v>
      </c>
      <c r="M12" s="20">
        <f t="shared" si="5"/>
        <v>845475</v>
      </c>
      <c r="N12" s="20">
        <f t="shared" si="5"/>
        <v>0</v>
      </c>
      <c r="O12" s="119">
        <f t="shared" si="5"/>
        <v>12883270</v>
      </c>
      <c r="P12" s="20">
        <f t="shared" si="5"/>
        <v>5836515</v>
      </c>
      <c r="Q12" s="20">
        <f t="shared" si="5"/>
        <v>16155485</v>
      </c>
      <c r="R12" s="20">
        <f t="shared" si="5"/>
        <v>3189280</v>
      </c>
      <c r="S12" s="7">
        <f t="shared" si="5"/>
        <v>2812445</v>
      </c>
    </row>
    <row r="13" spans="1:21" s="5" customFormat="1" ht="14.1" customHeight="1" x14ac:dyDescent="0.25">
      <c r="A13" s="192" t="s">
        <v>127</v>
      </c>
      <c r="B13" s="23" t="s">
        <v>128</v>
      </c>
      <c r="C13" s="68">
        <f>SUM(C14:C28)</f>
        <v>55304500</v>
      </c>
      <c r="D13" s="11">
        <f>SUM(D14:D28)</f>
        <v>21615997.689999998</v>
      </c>
      <c r="E13" s="243">
        <f t="shared" si="2"/>
        <v>0.39085422867940217</v>
      </c>
      <c r="F13" s="162">
        <f>SUM(Tabela11[[#This Row],[GOVERNANÇA
Direção e Liderança]:[GESTÃO
Infraestrutura
]])</f>
        <v>65757700</v>
      </c>
      <c r="G13" s="223">
        <f t="shared" si="0"/>
        <v>0.21630822368421052</v>
      </c>
      <c r="H13" s="231">
        <f>Tabela11[[#This Row],[Proposta Orçamentária 2023]]/Tabela11[[#This Row],[Dotação Atual
2022]]</f>
        <v>1.1890117440714589</v>
      </c>
      <c r="I13" s="20">
        <f>SUM(I14:I28)</f>
        <v>11377045</v>
      </c>
      <c r="J13" s="20">
        <f t="shared" ref="J13" si="6">SUM(J14:J28)</f>
        <v>7939425</v>
      </c>
      <c r="K13" s="20">
        <f t="shared" ref="K13:S13" si="7">SUM(K14:K28)</f>
        <v>4811875</v>
      </c>
      <c r="L13" s="119">
        <f t="shared" si="7"/>
        <v>10183050</v>
      </c>
      <c r="M13" s="20">
        <f t="shared" si="7"/>
        <v>635480</v>
      </c>
      <c r="N13" s="20">
        <f t="shared" si="7"/>
        <v>0</v>
      </c>
      <c r="O13" s="119">
        <f t="shared" si="7"/>
        <v>9702205</v>
      </c>
      <c r="P13" s="20">
        <f t="shared" si="7"/>
        <v>4401380</v>
      </c>
      <c r="Q13" s="20">
        <f t="shared" si="7"/>
        <v>12189845</v>
      </c>
      <c r="R13" s="20">
        <f t="shared" si="7"/>
        <v>2401165</v>
      </c>
      <c r="S13" s="7">
        <f t="shared" si="7"/>
        <v>2116230</v>
      </c>
    </row>
    <row r="14" spans="1:21" ht="14.1" customHeight="1" x14ac:dyDescent="0.25">
      <c r="A14" s="193" t="s">
        <v>129</v>
      </c>
      <c r="B14" s="24" t="s">
        <v>678</v>
      </c>
      <c r="C14" s="69">
        <v>26194400</v>
      </c>
      <c r="D14" s="12">
        <v>10097716.800000001</v>
      </c>
      <c r="E14" s="244">
        <f t="shared" si="2"/>
        <v>0.38549143328344992</v>
      </c>
      <c r="F14" s="163">
        <f>SUM(Tabela11[[#This Row],[GOVERNANÇA
Direção e Liderança]:[GESTÃO
Infraestrutura
]])</f>
        <v>28988050</v>
      </c>
      <c r="G14" s="224">
        <f t="shared" si="0"/>
        <v>9.5355427631578948E-2</v>
      </c>
      <c r="H14" s="232">
        <f>Tabela11[[#This Row],[Proposta Orçamentária 2023]]/Tabela11[[#This Row],[Dotação Atual
2022]]</f>
        <v>1.1066506581559417</v>
      </c>
      <c r="I14" s="19">
        <v>1003240</v>
      </c>
      <c r="J14" s="19">
        <v>3414010</v>
      </c>
      <c r="K14" s="19">
        <v>424450</v>
      </c>
      <c r="L14" s="121">
        <v>6122665</v>
      </c>
      <c r="M14" s="19">
        <v>341595</v>
      </c>
      <c r="N14" s="19">
        <v>0</v>
      </c>
      <c r="O14" s="121">
        <v>5758065</v>
      </c>
      <c r="P14" s="19">
        <v>2313010</v>
      </c>
      <c r="Q14" s="19">
        <v>6725030</v>
      </c>
      <c r="R14" s="19">
        <v>1565315</v>
      </c>
      <c r="S14" s="10">
        <v>1320670</v>
      </c>
    </row>
    <row r="15" spans="1:21" ht="14.1" customHeight="1" x14ac:dyDescent="0.25">
      <c r="A15" s="193" t="s">
        <v>130</v>
      </c>
      <c r="B15" s="24" t="s">
        <v>679</v>
      </c>
      <c r="C15" s="69">
        <v>837500</v>
      </c>
      <c r="D15" s="12">
        <v>400736.53</v>
      </c>
      <c r="E15" s="244">
        <f t="shared" si="2"/>
        <v>0.47849137910447764</v>
      </c>
      <c r="F15" s="163">
        <f>SUM(Tabela11[[#This Row],[GOVERNANÇA
Direção e Liderança]:[GESTÃO
Infraestrutura
]])</f>
        <v>791450</v>
      </c>
      <c r="G15" s="224">
        <f t="shared" si="0"/>
        <v>2.6034539473684211E-3</v>
      </c>
      <c r="H15" s="232">
        <f>Tabela11[[#This Row],[Proposta Orçamentária 2023]]/Tabela11[[#This Row],[Dotação Atual
2022]]</f>
        <v>0.94501492537313436</v>
      </c>
      <c r="I15" s="19">
        <v>13705</v>
      </c>
      <c r="J15" s="19">
        <v>150705</v>
      </c>
      <c r="K15" s="19">
        <v>4030</v>
      </c>
      <c r="L15" s="121">
        <v>97240</v>
      </c>
      <c r="M15" s="19">
        <v>4965</v>
      </c>
      <c r="N15" s="19">
        <v>0</v>
      </c>
      <c r="O15" s="121">
        <v>136275</v>
      </c>
      <c r="P15" s="19">
        <v>34075</v>
      </c>
      <c r="Q15" s="19">
        <v>263125</v>
      </c>
      <c r="R15" s="19">
        <v>16100</v>
      </c>
      <c r="S15" s="10">
        <v>71230</v>
      </c>
    </row>
    <row r="16" spans="1:21" ht="14.1" customHeight="1" x14ac:dyDescent="0.25">
      <c r="A16" s="193" t="s">
        <v>131</v>
      </c>
      <c r="B16" s="24" t="s">
        <v>811</v>
      </c>
      <c r="C16" s="69">
        <v>9756500</v>
      </c>
      <c r="D16" s="12">
        <v>4352851.57</v>
      </c>
      <c r="E16" s="244">
        <f t="shared" si="2"/>
        <v>0.44614888228360583</v>
      </c>
      <c r="F16" s="163">
        <f>SUM(Tabela11[[#This Row],[GOVERNANÇA
Direção e Liderança]:[GESTÃO
Infraestrutura
]])</f>
        <v>12974500</v>
      </c>
      <c r="G16" s="224">
        <f t="shared" si="0"/>
        <v>4.2679276315789473E-2</v>
      </c>
      <c r="H16" s="232">
        <f>Tabela11[[#This Row],[Proposta Orçamentária 2023]]/Tabela11[[#This Row],[Dotação Atual
2022]]</f>
        <v>1.3298313944549787</v>
      </c>
      <c r="I16" s="19">
        <v>5908220</v>
      </c>
      <c r="J16" s="19">
        <v>1585550</v>
      </c>
      <c r="K16" s="19">
        <v>1768845</v>
      </c>
      <c r="L16" s="121">
        <v>571775</v>
      </c>
      <c r="M16" s="19">
        <v>0</v>
      </c>
      <c r="N16" s="19">
        <v>0</v>
      </c>
      <c r="O16" s="121">
        <v>781295</v>
      </c>
      <c r="P16" s="19">
        <v>370030</v>
      </c>
      <c r="Q16" s="19">
        <v>1511905</v>
      </c>
      <c r="R16" s="19">
        <v>284200</v>
      </c>
      <c r="S16" s="10">
        <v>192680</v>
      </c>
    </row>
    <row r="17" spans="1:20" ht="14.1" customHeight="1" x14ac:dyDescent="0.25">
      <c r="A17" s="193" t="s">
        <v>132</v>
      </c>
      <c r="B17" s="24" t="s">
        <v>812</v>
      </c>
      <c r="C17" s="69">
        <v>2313500</v>
      </c>
      <c r="D17" s="12">
        <v>1046961.93</v>
      </c>
      <c r="E17" s="244">
        <f t="shared" si="2"/>
        <v>0.45254459909228445</v>
      </c>
      <c r="F17" s="163">
        <f>SUM(Tabela11[[#This Row],[GOVERNANÇA
Direção e Liderança]:[GESTÃO
Infraestrutura
]])</f>
        <v>2517450</v>
      </c>
      <c r="G17" s="224">
        <f t="shared" si="0"/>
        <v>8.2810855263157901E-3</v>
      </c>
      <c r="H17" s="232">
        <f>Tabela11[[#This Row],[Proposta Orçamentária 2023]]/Tabela11[[#This Row],[Dotação Atual
2022]]</f>
        <v>1.088156472876594</v>
      </c>
      <c r="I17" s="19">
        <v>193635</v>
      </c>
      <c r="J17" s="19">
        <v>147225</v>
      </c>
      <c r="K17" s="19">
        <v>0</v>
      </c>
      <c r="L17" s="121">
        <v>361115</v>
      </c>
      <c r="M17" s="19">
        <v>151205</v>
      </c>
      <c r="N17" s="19">
        <v>0</v>
      </c>
      <c r="O17" s="121">
        <v>736805</v>
      </c>
      <c r="P17" s="19">
        <v>379585</v>
      </c>
      <c r="Q17" s="19">
        <v>547880</v>
      </c>
      <c r="R17" s="19">
        <v>0</v>
      </c>
      <c r="S17" s="10">
        <v>0</v>
      </c>
    </row>
    <row r="18" spans="1:20" ht="14.1" customHeight="1" x14ac:dyDescent="0.25">
      <c r="A18" s="193" t="s">
        <v>133</v>
      </c>
      <c r="B18" s="24" t="s">
        <v>692</v>
      </c>
      <c r="C18" s="69">
        <v>330000</v>
      </c>
      <c r="D18" s="12">
        <v>155502.15</v>
      </c>
      <c r="E18" s="244">
        <f t="shared" si="2"/>
        <v>0.47121863636363637</v>
      </c>
      <c r="F18" s="163">
        <f>SUM(Tabela11[[#This Row],[GOVERNANÇA
Direção e Liderança]:[GESTÃO
Infraestrutura
]])</f>
        <v>309550</v>
      </c>
      <c r="G18" s="224">
        <f t="shared" si="0"/>
        <v>1.0182565789473685E-3</v>
      </c>
      <c r="H18" s="232">
        <f>Tabela11[[#This Row],[Proposta Orçamentária 2023]]/Tabela11[[#This Row],[Dotação Atual
2022]]</f>
        <v>0.93803030303030299</v>
      </c>
      <c r="I18" s="19">
        <v>0</v>
      </c>
      <c r="J18" s="19">
        <v>54210</v>
      </c>
      <c r="K18" s="19">
        <v>0</v>
      </c>
      <c r="L18" s="121">
        <v>24330</v>
      </c>
      <c r="M18" s="19">
        <v>0</v>
      </c>
      <c r="N18" s="19">
        <v>0</v>
      </c>
      <c r="O18" s="121">
        <v>42200</v>
      </c>
      <c r="P18" s="19">
        <v>19075</v>
      </c>
      <c r="Q18" s="19">
        <v>128750</v>
      </c>
      <c r="R18" s="19">
        <v>11735</v>
      </c>
      <c r="S18" s="10">
        <v>29250</v>
      </c>
      <c r="T18" s="66"/>
    </row>
    <row r="19" spans="1:20" ht="14.1" customHeight="1" x14ac:dyDescent="0.25">
      <c r="A19" s="193" t="s">
        <v>134</v>
      </c>
      <c r="B19" s="24" t="s">
        <v>681</v>
      </c>
      <c r="C19" s="69">
        <v>3579750</v>
      </c>
      <c r="D19" s="12">
        <v>1048168.97</v>
      </c>
      <c r="E19" s="244">
        <f t="shared" si="2"/>
        <v>0.29280507577344783</v>
      </c>
      <c r="F19" s="163">
        <f>SUM(Tabela11[[#This Row],[GOVERNANÇA
Direção e Liderança]:[GESTÃO
Infraestrutura
]])</f>
        <v>4196550</v>
      </c>
      <c r="G19" s="224">
        <f t="shared" si="0"/>
        <v>1.3804440789473684E-2</v>
      </c>
      <c r="H19" s="232">
        <f>Tabela11[[#This Row],[Proposta Orçamentária 2023]]/Tabela11[[#This Row],[Dotação Atual
2022]]</f>
        <v>1.1723025350932328</v>
      </c>
      <c r="I19" s="19">
        <v>654025</v>
      </c>
      <c r="J19" s="19">
        <v>493255</v>
      </c>
      <c r="K19" s="19">
        <v>201875</v>
      </c>
      <c r="L19" s="121">
        <v>660465</v>
      </c>
      <c r="M19" s="19">
        <v>45730</v>
      </c>
      <c r="N19" s="19">
        <v>0</v>
      </c>
      <c r="O19" s="121">
        <v>686195</v>
      </c>
      <c r="P19" s="19">
        <v>286255</v>
      </c>
      <c r="Q19" s="19">
        <v>847100</v>
      </c>
      <c r="R19" s="19">
        <v>172480</v>
      </c>
      <c r="S19" s="10">
        <v>149170</v>
      </c>
      <c r="T19" s="66"/>
    </row>
    <row r="20" spans="1:20" ht="14.25" customHeight="1" x14ac:dyDescent="0.25">
      <c r="A20" s="193" t="s">
        <v>135</v>
      </c>
      <c r="B20" s="24" t="s">
        <v>682</v>
      </c>
      <c r="C20" s="69">
        <v>508000</v>
      </c>
      <c r="D20" s="12">
        <v>258653.35</v>
      </c>
      <c r="E20" s="244">
        <f t="shared" si="2"/>
        <v>0.50916013779527558</v>
      </c>
      <c r="F20" s="163">
        <f>SUM(Tabela11[[#This Row],[GOVERNANÇA
Direção e Liderança]:[GESTÃO
Infraestrutura
]])</f>
        <v>622200</v>
      </c>
      <c r="G20" s="224">
        <f t="shared" si="0"/>
        <v>2.0467105263157893E-3</v>
      </c>
      <c r="H20" s="232">
        <f>Tabela11[[#This Row],[Proposta Orçamentária 2023]]/Tabela11[[#This Row],[Dotação Atual
2022]]</f>
        <v>1.2248031496062992</v>
      </c>
      <c r="I20" s="19">
        <v>41045</v>
      </c>
      <c r="J20" s="19">
        <v>89620</v>
      </c>
      <c r="K20" s="19">
        <v>50200</v>
      </c>
      <c r="L20" s="121">
        <v>92140</v>
      </c>
      <c r="M20" s="19">
        <v>0</v>
      </c>
      <c r="N20" s="19">
        <v>0</v>
      </c>
      <c r="O20" s="121">
        <v>75870</v>
      </c>
      <c r="P20" s="19">
        <v>58450</v>
      </c>
      <c r="Q20" s="19">
        <v>189280</v>
      </c>
      <c r="R20" s="19">
        <v>16210</v>
      </c>
      <c r="S20" s="10">
        <v>9385</v>
      </c>
    </row>
    <row r="21" spans="1:20" ht="14.1" customHeight="1" x14ac:dyDescent="0.25">
      <c r="A21" s="193" t="s">
        <v>136</v>
      </c>
      <c r="B21" s="24" t="s">
        <v>683</v>
      </c>
      <c r="C21" s="69">
        <v>1519000</v>
      </c>
      <c r="D21" s="12">
        <v>504021.45</v>
      </c>
      <c r="E21" s="244">
        <f t="shared" si="2"/>
        <v>0.33181135615536539</v>
      </c>
      <c r="F21" s="163">
        <f>SUM(Tabela11[[#This Row],[GOVERNANÇA
Direção e Liderança]:[GESTÃO
Infraestrutura
]])</f>
        <v>1398850</v>
      </c>
      <c r="G21" s="224">
        <f t="shared" si="0"/>
        <v>4.6014802631578946E-3</v>
      </c>
      <c r="H21" s="232">
        <f>Tabela11[[#This Row],[Proposta Orçamentária 2023]]/Tabela11[[#This Row],[Dotação Atual
2022]]</f>
        <v>0.92090190915075709</v>
      </c>
      <c r="I21" s="19">
        <v>218005</v>
      </c>
      <c r="J21" s="19">
        <v>164420</v>
      </c>
      <c r="K21" s="19">
        <v>67290</v>
      </c>
      <c r="L21" s="121">
        <v>220155</v>
      </c>
      <c r="M21" s="19">
        <v>15245</v>
      </c>
      <c r="N21" s="19">
        <v>0</v>
      </c>
      <c r="O21" s="121">
        <v>228730</v>
      </c>
      <c r="P21" s="19">
        <v>95420</v>
      </c>
      <c r="Q21" s="19">
        <v>282370</v>
      </c>
      <c r="R21" s="19">
        <v>57490</v>
      </c>
      <c r="S21" s="10">
        <v>49725</v>
      </c>
    </row>
    <row r="22" spans="1:20" ht="14.1" customHeight="1" x14ac:dyDescent="0.25">
      <c r="A22" s="193" t="s">
        <v>137</v>
      </c>
      <c r="B22" s="24" t="s">
        <v>684</v>
      </c>
      <c r="C22" s="69">
        <v>743500</v>
      </c>
      <c r="D22" s="12">
        <v>298946.96999999997</v>
      </c>
      <c r="E22" s="244">
        <f t="shared" si="2"/>
        <v>0.40208065904505713</v>
      </c>
      <c r="F22" s="163">
        <f>SUM(Tabela11[[#This Row],[GOVERNANÇA
Direção e Liderança]:[GESTÃO
Infraestrutura
]])</f>
        <v>1217750</v>
      </c>
      <c r="G22" s="224">
        <f t="shared" si="0"/>
        <v>4.0057565789473684E-3</v>
      </c>
      <c r="H22" s="232">
        <f>Tabela11[[#This Row],[Proposta Orçamentária 2023]]/Tabela11[[#This Row],[Dotação Atual
2022]]</f>
        <v>1.6378614660390047</v>
      </c>
      <c r="I22" s="19">
        <v>14590</v>
      </c>
      <c r="J22" s="19">
        <v>158130</v>
      </c>
      <c r="K22" s="19">
        <v>6270</v>
      </c>
      <c r="L22" s="121">
        <v>135450</v>
      </c>
      <c r="M22" s="19">
        <v>4200</v>
      </c>
      <c r="N22" s="19">
        <v>0</v>
      </c>
      <c r="O22" s="121">
        <v>207260</v>
      </c>
      <c r="P22" s="19">
        <v>325115</v>
      </c>
      <c r="Q22" s="19">
        <v>207275</v>
      </c>
      <c r="R22" s="19">
        <v>64740</v>
      </c>
      <c r="S22" s="10">
        <v>94720</v>
      </c>
    </row>
    <row r="23" spans="1:20" ht="14.1" customHeight="1" x14ac:dyDescent="0.25">
      <c r="A23" s="193" t="s">
        <v>138</v>
      </c>
      <c r="B23" s="24" t="s">
        <v>685</v>
      </c>
      <c r="C23" s="69">
        <v>371000</v>
      </c>
      <c r="D23" s="12">
        <v>151155.57999999999</v>
      </c>
      <c r="E23" s="244">
        <f t="shared" si="2"/>
        <v>0.40742743935309972</v>
      </c>
      <c r="F23" s="163">
        <f>SUM(Tabela11[[#This Row],[GOVERNANÇA
Direção e Liderança]:[GESTÃO
Infraestrutura
]])</f>
        <v>1180200</v>
      </c>
      <c r="G23" s="224">
        <f t="shared" si="0"/>
        <v>3.882236842105263E-3</v>
      </c>
      <c r="H23" s="232">
        <f>Tabela11[[#This Row],[Proposta Orçamentária 2023]]/Tabela11[[#This Row],[Dotação Atual
2022]]</f>
        <v>3.1811320754716981</v>
      </c>
      <c r="I23" s="19">
        <v>50375</v>
      </c>
      <c r="J23" s="19">
        <v>267785</v>
      </c>
      <c r="K23" s="19">
        <v>40200</v>
      </c>
      <c r="L23" s="121">
        <v>133580</v>
      </c>
      <c r="M23" s="19">
        <v>26595</v>
      </c>
      <c r="N23" s="19">
        <v>0</v>
      </c>
      <c r="O23" s="121">
        <v>143755</v>
      </c>
      <c r="P23" s="19">
        <v>93385</v>
      </c>
      <c r="Q23" s="19">
        <v>344125</v>
      </c>
      <c r="R23" s="19">
        <v>40200</v>
      </c>
      <c r="S23" s="10">
        <v>40200</v>
      </c>
    </row>
    <row r="24" spans="1:20" ht="14.1" customHeight="1" x14ac:dyDescent="0.25">
      <c r="A24" s="193" t="s">
        <v>139</v>
      </c>
      <c r="B24" s="24" t="s">
        <v>686</v>
      </c>
      <c r="C24" s="69">
        <v>6100</v>
      </c>
      <c r="D24" s="12">
        <v>617.30999999999995</v>
      </c>
      <c r="E24" s="244">
        <f t="shared" si="2"/>
        <v>0.1011983606557377</v>
      </c>
      <c r="F24" s="163">
        <f>SUM(Tabela11[[#This Row],[GOVERNANÇA
Direção e Liderança]:[GESTÃO
Infraestrutura
]])</f>
        <v>2150</v>
      </c>
      <c r="G24" s="224">
        <f t="shared" si="0"/>
        <v>7.0723684210526312E-6</v>
      </c>
      <c r="H24" s="232">
        <f>Tabela11[[#This Row],[Proposta Orçamentária 2023]]/Tabela11[[#This Row],[Dotação Atual
2022]]</f>
        <v>0.35245901639344263</v>
      </c>
      <c r="I24" s="19">
        <v>215</v>
      </c>
      <c r="J24" s="19">
        <v>215</v>
      </c>
      <c r="K24" s="19">
        <v>215</v>
      </c>
      <c r="L24" s="121">
        <v>215</v>
      </c>
      <c r="M24" s="19">
        <v>215</v>
      </c>
      <c r="N24" s="19">
        <v>0</v>
      </c>
      <c r="O24" s="121">
        <v>215</v>
      </c>
      <c r="P24" s="19">
        <v>215</v>
      </c>
      <c r="Q24" s="19">
        <v>215</v>
      </c>
      <c r="R24" s="19">
        <v>215</v>
      </c>
      <c r="S24" s="10">
        <v>215</v>
      </c>
    </row>
    <row r="25" spans="1:20" ht="14.1" customHeight="1" x14ac:dyDescent="0.25">
      <c r="A25" s="193" t="s">
        <v>140</v>
      </c>
      <c r="B25" s="24" t="s">
        <v>687</v>
      </c>
      <c r="C25" s="69">
        <v>499500</v>
      </c>
      <c r="D25" s="12">
        <v>83103.56</v>
      </c>
      <c r="E25" s="244">
        <f t="shared" si="2"/>
        <v>0.16637349349349348</v>
      </c>
      <c r="F25" s="163">
        <f>SUM(Tabela11[[#This Row],[GOVERNANÇA
Direção e Liderança]:[GESTÃO
Infraestrutura
]])</f>
        <v>4093000</v>
      </c>
      <c r="G25" s="224">
        <f t="shared" si="0"/>
        <v>1.3463815789473685E-2</v>
      </c>
      <c r="H25" s="232">
        <f>Tabela11[[#This Row],[Proposta Orçamentária 2023]]/Tabela11[[#This Row],[Dotação Atual
2022]]</f>
        <v>8.1941941941941945</v>
      </c>
      <c r="I25" s="19">
        <v>2277970</v>
      </c>
      <c r="J25" s="19">
        <v>434380</v>
      </c>
      <c r="K25" s="19">
        <v>654695</v>
      </c>
      <c r="L25" s="121">
        <v>128425</v>
      </c>
      <c r="M25" s="19">
        <v>0</v>
      </c>
      <c r="N25" s="19">
        <v>0</v>
      </c>
      <c r="O25" s="121">
        <v>205035</v>
      </c>
      <c r="P25" s="19">
        <v>140510</v>
      </c>
      <c r="Q25" s="19">
        <v>251985</v>
      </c>
      <c r="R25" s="19">
        <v>0</v>
      </c>
      <c r="S25" s="10">
        <v>0</v>
      </c>
    </row>
    <row r="26" spans="1:20" ht="14.1" customHeight="1" x14ac:dyDescent="0.25">
      <c r="A26" s="193" t="s">
        <v>141</v>
      </c>
      <c r="B26" s="24" t="s">
        <v>691</v>
      </c>
      <c r="C26" s="69">
        <v>108500</v>
      </c>
      <c r="D26" s="12">
        <v>50377.32</v>
      </c>
      <c r="E26" s="244">
        <f t="shared" si="2"/>
        <v>0.46430709677419357</v>
      </c>
      <c r="F26" s="163">
        <f>SUM(Tabela11[[#This Row],[GOVERNANÇA
Direção e Liderança]:[GESTÃO
Infraestrutura
]])</f>
        <v>96800</v>
      </c>
      <c r="G26" s="224">
        <f t="shared" si="0"/>
        <v>3.1842105263157894E-4</v>
      </c>
      <c r="H26" s="232">
        <f>Tabela11[[#This Row],[Proposta Orçamentária 2023]]/Tabela11[[#This Row],[Dotação Atual
2022]]</f>
        <v>0.8921658986175115</v>
      </c>
      <c r="I26" s="19">
        <v>0</v>
      </c>
      <c r="J26" s="19">
        <v>17200</v>
      </c>
      <c r="K26" s="19">
        <v>0</v>
      </c>
      <c r="L26" s="121">
        <v>11770</v>
      </c>
      <c r="M26" s="19">
        <v>0</v>
      </c>
      <c r="N26" s="19">
        <v>0</v>
      </c>
      <c r="O26" s="121">
        <v>14310</v>
      </c>
      <c r="P26" s="19">
        <v>0</v>
      </c>
      <c r="Q26" s="19">
        <v>43705</v>
      </c>
      <c r="R26" s="19">
        <v>0</v>
      </c>
      <c r="S26" s="10">
        <v>9815</v>
      </c>
    </row>
    <row r="27" spans="1:20" ht="14.1" customHeight="1" x14ac:dyDescent="0.25">
      <c r="A27" s="193" t="s">
        <v>142</v>
      </c>
      <c r="B27" s="24" t="s">
        <v>688</v>
      </c>
      <c r="C27" s="69">
        <v>3994500</v>
      </c>
      <c r="D27" s="12">
        <v>1653717.62</v>
      </c>
      <c r="E27" s="244">
        <f t="shared" si="2"/>
        <v>0.41399865314807865</v>
      </c>
      <c r="F27" s="163">
        <f>SUM(Tabela11[[#This Row],[GOVERNANÇA
Direção e Liderança]:[GESTÃO
Infraestrutura
]])</f>
        <v>3172650</v>
      </c>
      <c r="G27" s="224">
        <f t="shared" si="0"/>
        <v>1.0436348684210527E-2</v>
      </c>
      <c r="H27" s="232">
        <f>Tabela11[[#This Row],[Proposta Orçamentária 2023]]/Tabela11[[#This Row],[Dotação Atual
2022]]</f>
        <v>0.79425460007510329</v>
      </c>
      <c r="I27" s="19">
        <v>347995</v>
      </c>
      <c r="J27" s="19">
        <v>469465</v>
      </c>
      <c r="K27" s="19">
        <v>1391930</v>
      </c>
      <c r="L27" s="121">
        <v>963260</v>
      </c>
      <c r="M27" s="19">
        <v>0</v>
      </c>
      <c r="N27" s="19">
        <v>0</v>
      </c>
      <c r="O27" s="121">
        <v>0</v>
      </c>
      <c r="P27" s="19">
        <v>0</v>
      </c>
      <c r="Q27" s="19">
        <v>0</v>
      </c>
      <c r="R27" s="19">
        <v>0</v>
      </c>
      <c r="S27" s="10">
        <v>0</v>
      </c>
    </row>
    <row r="28" spans="1:20" ht="14.1" customHeight="1" x14ac:dyDescent="0.25">
      <c r="A28" s="193" t="s">
        <v>143</v>
      </c>
      <c r="B28" s="24" t="s">
        <v>689</v>
      </c>
      <c r="C28" s="69">
        <v>4542750</v>
      </c>
      <c r="D28" s="12">
        <v>1513466.58</v>
      </c>
      <c r="E28" s="244">
        <f t="shared" si="2"/>
        <v>0.33316087832260194</v>
      </c>
      <c r="F28" s="163">
        <f>SUM(Tabela11[[#This Row],[GOVERNANÇA
Direção e Liderança]:[GESTÃO
Infraestrutura
]])</f>
        <v>4196550</v>
      </c>
      <c r="G28" s="224">
        <f t="shared" si="0"/>
        <v>1.3804440789473684E-2</v>
      </c>
      <c r="H28" s="232">
        <f>Tabela11[[#This Row],[Proposta Orçamentária 2023]]/Tabela11[[#This Row],[Dotação Atual
2022]]</f>
        <v>0.92379065543998684</v>
      </c>
      <c r="I28" s="19">
        <v>654025</v>
      </c>
      <c r="J28" s="19">
        <v>493255</v>
      </c>
      <c r="K28" s="19">
        <v>201875</v>
      </c>
      <c r="L28" s="121">
        <v>660465</v>
      </c>
      <c r="M28" s="19">
        <v>45730</v>
      </c>
      <c r="N28" s="19">
        <v>0</v>
      </c>
      <c r="O28" s="121">
        <v>686195</v>
      </c>
      <c r="P28" s="19">
        <v>286255</v>
      </c>
      <c r="Q28" s="19">
        <v>847100</v>
      </c>
      <c r="R28" s="19">
        <v>172480</v>
      </c>
      <c r="S28" s="10">
        <v>149170</v>
      </c>
    </row>
    <row r="29" spans="1:20" s="5" customFormat="1" ht="14.1" customHeight="1" x14ac:dyDescent="0.25">
      <c r="A29" s="192" t="s">
        <v>145</v>
      </c>
      <c r="B29" s="23" t="s">
        <v>146</v>
      </c>
      <c r="C29" s="68">
        <f>SUM(C30:C32)</f>
        <v>15847000</v>
      </c>
      <c r="D29" s="11">
        <f>SUM(D30:D32)</f>
        <v>6946742.7599999998</v>
      </c>
      <c r="E29" s="243">
        <f t="shared" si="2"/>
        <v>0.43836327128163055</v>
      </c>
      <c r="F29" s="162">
        <f>SUM(Tabela11[[#This Row],[GOVERNANÇA
Direção e Liderança]:[GESTÃO
Infraestrutura
]])</f>
        <v>21524300</v>
      </c>
      <c r="G29" s="223">
        <f t="shared" si="0"/>
        <v>7.0803618421052636E-2</v>
      </c>
      <c r="H29" s="231">
        <f>Tabela11[[#This Row],[Proposta Orçamentária 2023]]/Tabela11[[#This Row],[Dotação Atual
2022]]</f>
        <v>1.3582570833596264</v>
      </c>
      <c r="I29" s="20">
        <f t="shared" ref="I29:S29" si="8">SUM(I30:I32)</f>
        <v>3746035</v>
      </c>
      <c r="J29" s="20">
        <f t="shared" ref="J29" si="9">SUM(J30:J32)</f>
        <v>2594000</v>
      </c>
      <c r="K29" s="20">
        <f t="shared" si="8"/>
        <v>1573515</v>
      </c>
      <c r="L29" s="119">
        <f t="shared" si="8"/>
        <v>3334585</v>
      </c>
      <c r="M29" s="20">
        <f t="shared" si="8"/>
        <v>209995</v>
      </c>
      <c r="N29" s="20">
        <f t="shared" si="8"/>
        <v>0</v>
      </c>
      <c r="O29" s="119">
        <f t="shared" si="8"/>
        <v>3181065</v>
      </c>
      <c r="P29" s="20">
        <f t="shared" si="8"/>
        <v>1435135</v>
      </c>
      <c r="Q29" s="20">
        <f t="shared" si="8"/>
        <v>3965640</v>
      </c>
      <c r="R29" s="20">
        <f t="shared" si="8"/>
        <v>788115</v>
      </c>
      <c r="S29" s="7">
        <f t="shared" si="8"/>
        <v>696215</v>
      </c>
    </row>
    <row r="30" spans="1:20" ht="14.1" customHeight="1" x14ac:dyDescent="0.25">
      <c r="A30" s="193" t="s">
        <v>147</v>
      </c>
      <c r="B30" s="24" t="s">
        <v>697</v>
      </c>
      <c r="C30" s="69">
        <v>11440000</v>
      </c>
      <c r="D30" s="12">
        <v>4980893.9000000004</v>
      </c>
      <c r="E30" s="244">
        <f t="shared" si="2"/>
        <v>0.43539282342657348</v>
      </c>
      <c r="F30" s="163">
        <f>SUM(Tabela11[[#This Row],[GOVERNANÇA
Direção e Liderança]:[GESTÃO
Infraestrutura
]])</f>
        <v>15662100</v>
      </c>
      <c r="G30" s="224">
        <f t="shared" si="0"/>
        <v>5.1520065789473685E-2</v>
      </c>
      <c r="H30" s="232">
        <f>Tabela11[[#This Row],[Proposta Orçamentária 2023]]/Tabela11[[#This Row],[Dotação Atual
2022]]</f>
        <v>1.3690646853146853</v>
      </c>
      <c r="I30" s="19">
        <v>2725795</v>
      </c>
      <c r="J30" s="19">
        <v>1887520</v>
      </c>
      <c r="K30" s="19">
        <v>1144965</v>
      </c>
      <c r="L30" s="121">
        <v>2426400</v>
      </c>
      <c r="M30" s="19">
        <v>152800</v>
      </c>
      <c r="N30" s="19">
        <v>0</v>
      </c>
      <c r="O30" s="121">
        <v>2314695</v>
      </c>
      <c r="P30" s="19">
        <v>1044270</v>
      </c>
      <c r="Q30" s="19">
        <v>2885590</v>
      </c>
      <c r="R30" s="19">
        <v>573470</v>
      </c>
      <c r="S30" s="10">
        <v>506595</v>
      </c>
    </row>
    <row r="31" spans="1:20" ht="14.1" customHeight="1" x14ac:dyDescent="0.25">
      <c r="A31" s="193" t="s">
        <v>148</v>
      </c>
      <c r="B31" s="24" t="s">
        <v>693</v>
      </c>
      <c r="C31" s="69">
        <v>3910500</v>
      </c>
      <c r="D31" s="12">
        <v>1745949.52</v>
      </c>
      <c r="E31" s="244">
        <f t="shared" si="2"/>
        <v>0.44647730980693007</v>
      </c>
      <c r="F31" s="163">
        <f>SUM(Tabela11[[#This Row],[GOVERNANÇA
Direção e Liderança]:[GESTÃO
Infraestrutura
]])</f>
        <v>5210850</v>
      </c>
      <c r="G31" s="224">
        <f t="shared" si="0"/>
        <v>1.714095394736842E-2</v>
      </c>
      <c r="H31" s="232">
        <f>Tabela11[[#This Row],[Proposta Orçamentária 2023]]/Tabela11[[#This Row],[Dotação Atual
2022]]</f>
        <v>1.3325278097429996</v>
      </c>
      <c r="I31" s="19">
        <v>906880</v>
      </c>
      <c r="J31" s="19">
        <v>627985</v>
      </c>
      <c r="K31" s="19">
        <v>380935</v>
      </c>
      <c r="L31" s="121">
        <v>807275</v>
      </c>
      <c r="M31" s="19">
        <v>50840</v>
      </c>
      <c r="N31" s="19">
        <v>0</v>
      </c>
      <c r="O31" s="121">
        <v>770110</v>
      </c>
      <c r="P31" s="19">
        <v>347435</v>
      </c>
      <c r="Q31" s="19">
        <v>960045</v>
      </c>
      <c r="R31" s="19">
        <v>190795</v>
      </c>
      <c r="S31" s="10">
        <v>168550</v>
      </c>
    </row>
    <row r="32" spans="1:20" ht="14.1" customHeight="1" x14ac:dyDescent="0.25">
      <c r="A32" s="193" t="s">
        <v>150</v>
      </c>
      <c r="B32" s="24" t="s">
        <v>694</v>
      </c>
      <c r="C32" s="69">
        <v>496500</v>
      </c>
      <c r="D32" s="12">
        <v>219899.34</v>
      </c>
      <c r="E32" s="244">
        <f t="shared" si="2"/>
        <v>0.44289897280966767</v>
      </c>
      <c r="F32" s="163">
        <f>SUM(Tabela11[[#This Row],[GOVERNANÇA
Direção e Liderança]:[GESTÃO
Infraestrutura
]])</f>
        <v>651350</v>
      </c>
      <c r="G32" s="224">
        <f t="shared" si="0"/>
        <v>2.1425986842105262E-3</v>
      </c>
      <c r="H32" s="232">
        <f>Tabela11[[#This Row],[Proposta Orçamentária 2023]]/Tabela11[[#This Row],[Dotação Atual
2022]]</f>
        <v>1.3118831822759316</v>
      </c>
      <c r="I32" s="19">
        <v>113360</v>
      </c>
      <c r="J32" s="19">
        <v>78495</v>
      </c>
      <c r="K32" s="19">
        <v>47615</v>
      </c>
      <c r="L32" s="121">
        <v>100910</v>
      </c>
      <c r="M32" s="19">
        <v>6355</v>
      </c>
      <c r="N32" s="19">
        <v>0</v>
      </c>
      <c r="O32" s="121">
        <v>96260</v>
      </c>
      <c r="P32" s="19">
        <v>43430</v>
      </c>
      <c r="Q32" s="19">
        <v>120005</v>
      </c>
      <c r="R32" s="19">
        <v>23850</v>
      </c>
      <c r="S32" s="10">
        <v>21070</v>
      </c>
    </row>
    <row r="33" spans="1:19" s="5" customFormat="1" ht="12.75" x14ac:dyDescent="0.25">
      <c r="A33" s="192" t="s">
        <v>151</v>
      </c>
      <c r="B33" s="23" t="s">
        <v>152</v>
      </c>
      <c r="C33" s="68">
        <f>+C34+C41+C46</f>
        <v>127157494.62</v>
      </c>
      <c r="D33" s="11">
        <f>+D34+D41+D46</f>
        <v>28202364.729999997</v>
      </c>
      <c r="E33" s="243">
        <f t="shared" si="2"/>
        <v>0.22179081786945007</v>
      </c>
      <c r="F33" s="162">
        <f>SUM(Tabela11[[#This Row],[GOVERNANÇA
Direção e Liderança]:[GESTÃO
Infraestrutura
]])</f>
        <v>169893000</v>
      </c>
      <c r="G33" s="223">
        <f t="shared" si="0"/>
        <v>0.55885855263157891</v>
      </c>
      <c r="H33" s="231">
        <f>Tabela11[[#This Row],[Proposta Orçamentária 2023]]/Tabela11[[#This Row],[Dotação Atual
2022]]</f>
        <v>1.3360832604300017</v>
      </c>
      <c r="I33" s="20">
        <f t="shared" ref="I33:S33" si="10">+I34+I41+I46</f>
        <v>18220850</v>
      </c>
      <c r="J33" s="20">
        <f t="shared" si="10"/>
        <v>20362070</v>
      </c>
      <c r="K33" s="20">
        <f t="shared" si="10"/>
        <v>9468645</v>
      </c>
      <c r="L33" s="119">
        <f t="shared" si="10"/>
        <v>4927890</v>
      </c>
      <c r="M33" s="20">
        <f t="shared" si="10"/>
        <v>837110</v>
      </c>
      <c r="N33" s="20">
        <f t="shared" si="10"/>
        <v>200000</v>
      </c>
      <c r="O33" s="119">
        <f t="shared" si="10"/>
        <v>9041190</v>
      </c>
      <c r="P33" s="20">
        <f t="shared" si="10"/>
        <v>55332800</v>
      </c>
      <c r="Q33" s="20">
        <f t="shared" si="10"/>
        <v>5623550</v>
      </c>
      <c r="R33" s="20">
        <f t="shared" si="10"/>
        <v>31645300</v>
      </c>
      <c r="S33" s="7">
        <f t="shared" si="10"/>
        <v>14233595</v>
      </c>
    </row>
    <row r="34" spans="1:19" s="5" customFormat="1" ht="12.75" x14ac:dyDescent="0.25">
      <c r="A34" s="192" t="s">
        <v>153</v>
      </c>
      <c r="B34" s="23" t="s">
        <v>154</v>
      </c>
      <c r="C34" s="68">
        <f>SUM(C35:C40)</f>
        <v>11229500</v>
      </c>
      <c r="D34" s="11">
        <f>SUM(D35:D40)</f>
        <v>4423003.84</v>
      </c>
      <c r="E34" s="243">
        <f t="shared" si="2"/>
        <v>0.39387362215592858</v>
      </c>
      <c r="F34" s="162">
        <f>SUM(Tabela11[[#This Row],[GOVERNANÇA
Direção e Liderança]:[GESTÃO
Infraestrutura
]])</f>
        <v>11821100</v>
      </c>
      <c r="G34" s="223">
        <f t="shared" si="0"/>
        <v>3.8885197368421054E-2</v>
      </c>
      <c r="H34" s="231">
        <f>Tabela11[[#This Row],[Proposta Orçamentária 2023]]/Tabela11[[#This Row],[Dotação Atual
2022]]</f>
        <v>1.0526826661917272</v>
      </c>
      <c r="I34" s="20">
        <f t="shared" ref="I34:S34" si="11">SUM(I35:I40)</f>
        <v>1093075</v>
      </c>
      <c r="J34" s="20">
        <f t="shared" ref="J34" si="12">SUM(J35:J40)</f>
        <v>1256470</v>
      </c>
      <c r="K34" s="20">
        <f t="shared" si="11"/>
        <v>423665</v>
      </c>
      <c r="L34" s="119">
        <f t="shared" si="11"/>
        <v>2151070</v>
      </c>
      <c r="M34" s="20">
        <f t="shared" si="11"/>
        <v>141705</v>
      </c>
      <c r="N34" s="20">
        <f t="shared" si="11"/>
        <v>0</v>
      </c>
      <c r="O34" s="119">
        <f t="shared" si="11"/>
        <v>1970420</v>
      </c>
      <c r="P34" s="20">
        <f t="shared" si="11"/>
        <v>841795</v>
      </c>
      <c r="Q34" s="20">
        <f t="shared" si="11"/>
        <v>2603615</v>
      </c>
      <c r="R34" s="20">
        <f t="shared" si="11"/>
        <v>608635</v>
      </c>
      <c r="S34" s="7">
        <f t="shared" si="11"/>
        <v>730650</v>
      </c>
    </row>
    <row r="35" spans="1:19" ht="12.75" x14ac:dyDescent="0.25">
      <c r="A35" s="193" t="s">
        <v>155</v>
      </c>
      <c r="B35" s="24" t="s">
        <v>698</v>
      </c>
      <c r="C35" s="69">
        <v>1000</v>
      </c>
      <c r="D35" s="12">
        <v>0</v>
      </c>
      <c r="E35" s="245">
        <f t="shared" si="2"/>
        <v>0</v>
      </c>
      <c r="F35" s="163">
        <f>SUM(Tabela11[[#This Row],[GOVERNANÇA
Direção e Liderança]:[GESTÃO
Infraestrutura
]])</f>
        <v>1200</v>
      </c>
      <c r="G35" s="224">
        <f t="shared" si="0"/>
        <v>3.9473684210526315E-6</v>
      </c>
      <c r="H35" s="233">
        <f>Tabela11[[#This Row],[Proposta Orçamentária 2023]]/Tabela11[[#This Row],[Dotação Atual
2022]]</f>
        <v>1.2</v>
      </c>
      <c r="I35" s="19">
        <v>0</v>
      </c>
      <c r="J35" s="19">
        <v>0</v>
      </c>
      <c r="K35" s="19">
        <v>0</v>
      </c>
      <c r="L35" s="121">
        <v>0</v>
      </c>
      <c r="M35" s="19">
        <v>0</v>
      </c>
      <c r="N35" s="19">
        <v>0</v>
      </c>
      <c r="O35" s="121">
        <v>0</v>
      </c>
      <c r="P35" s="19">
        <v>0</v>
      </c>
      <c r="Q35" s="19">
        <v>1200</v>
      </c>
      <c r="R35" s="19">
        <v>0</v>
      </c>
      <c r="S35" s="10">
        <v>0</v>
      </c>
    </row>
    <row r="36" spans="1:19" ht="12.75" x14ac:dyDescent="0.25">
      <c r="A36" s="193" t="s">
        <v>156</v>
      </c>
      <c r="B36" s="24" t="s">
        <v>699</v>
      </c>
      <c r="C36" s="69">
        <v>3394000</v>
      </c>
      <c r="D36" s="12">
        <v>1599233.65</v>
      </c>
      <c r="E36" s="245">
        <f t="shared" si="2"/>
        <v>0.4711943576900412</v>
      </c>
      <c r="F36" s="163">
        <f>SUM(Tabela11[[#This Row],[GOVERNANÇA
Direção e Liderança]:[GESTÃO
Infraestrutura
]])</f>
        <v>3923300</v>
      </c>
      <c r="G36" s="224">
        <f t="shared" si="0"/>
        <v>1.2905592105263158E-2</v>
      </c>
      <c r="H36" s="233">
        <f>Tabela11[[#This Row],[Proposta Orçamentária 2023]]/Tabela11[[#This Row],[Dotação Atual
2022]]</f>
        <v>1.1559516794342959</v>
      </c>
      <c r="I36" s="19">
        <v>422510</v>
      </c>
      <c r="J36" s="19">
        <v>402385</v>
      </c>
      <c r="K36" s="19">
        <v>160955</v>
      </c>
      <c r="L36" s="121">
        <v>663945</v>
      </c>
      <c r="M36" s="19">
        <v>40245</v>
      </c>
      <c r="N36" s="19">
        <v>0</v>
      </c>
      <c r="O36" s="121">
        <v>623700</v>
      </c>
      <c r="P36" s="19">
        <v>301790</v>
      </c>
      <c r="Q36" s="19">
        <v>925490</v>
      </c>
      <c r="R36" s="19">
        <v>201200</v>
      </c>
      <c r="S36" s="10">
        <v>181080</v>
      </c>
    </row>
    <row r="37" spans="1:19" ht="12.75" x14ac:dyDescent="0.25">
      <c r="A37" s="193" t="s">
        <v>157</v>
      </c>
      <c r="B37" s="24" t="s">
        <v>700</v>
      </c>
      <c r="C37" s="69">
        <v>5971000</v>
      </c>
      <c r="D37" s="12">
        <v>2218649.4</v>
      </c>
      <c r="E37" s="245">
        <f t="shared" si="2"/>
        <v>0.37157082565734384</v>
      </c>
      <c r="F37" s="163">
        <f>SUM(Tabela11[[#This Row],[GOVERNANÇA
Direção e Liderança]:[GESTÃO
Infraestrutura
]])</f>
        <v>6388950</v>
      </c>
      <c r="G37" s="224">
        <f t="shared" si="0"/>
        <v>2.1016282894736841E-2</v>
      </c>
      <c r="H37" s="233">
        <f>Tabela11[[#This Row],[Proposta Orçamentária 2023]]/Tabela11[[#This Row],[Dotação Atual
2022]]</f>
        <v>1.0699966504773071</v>
      </c>
      <c r="I37" s="19">
        <v>524735</v>
      </c>
      <c r="J37" s="19">
        <v>688470</v>
      </c>
      <c r="K37" s="19">
        <v>196525</v>
      </c>
      <c r="L37" s="121">
        <v>1226710</v>
      </c>
      <c r="M37" s="19">
        <v>81455</v>
      </c>
      <c r="N37" s="19">
        <v>0</v>
      </c>
      <c r="O37" s="121">
        <v>1126035</v>
      </c>
      <c r="P37" s="19">
        <v>404165</v>
      </c>
      <c r="Q37" s="19">
        <v>1338135</v>
      </c>
      <c r="R37" s="19">
        <v>320050</v>
      </c>
      <c r="S37" s="10">
        <v>482670</v>
      </c>
    </row>
    <row r="38" spans="1:19" ht="12.75" x14ac:dyDescent="0.25">
      <c r="A38" s="193" t="s">
        <v>158</v>
      </c>
      <c r="B38" s="24" t="s">
        <v>701</v>
      </c>
      <c r="C38" s="69">
        <v>171500</v>
      </c>
      <c r="D38" s="12">
        <v>55151.9</v>
      </c>
      <c r="E38" s="245">
        <f t="shared" si="2"/>
        <v>0.32158542274052476</v>
      </c>
      <c r="F38" s="163">
        <f>SUM(Tabela11[[#This Row],[GOVERNANÇA
Direção e Liderança]:[GESTÃO
Infraestrutura
]])</f>
        <v>138500</v>
      </c>
      <c r="G38" s="224">
        <f t="shared" si="0"/>
        <v>4.5559210526315789E-4</v>
      </c>
      <c r="H38" s="233">
        <f>Tabela11[[#This Row],[Proposta Orçamentária 2023]]/Tabela11[[#This Row],[Dotação Atual
2022]]</f>
        <v>0.80758017492711365</v>
      </c>
      <c r="I38" s="19">
        <v>14450</v>
      </c>
      <c r="J38" s="19">
        <v>16490</v>
      </c>
      <c r="K38" s="19">
        <v>5780</v>
      </c>
      <c r="L38" s="121">
        <v>22080</v>
      </c>
      <c r="M38" s="19">
        <v>2210</v>
      </c>
      <c r="N38" s="19">
        <v>0</v>
      </c>
      <c r="O38" s="121">
        <v>21940</v>
      </c>
      <c r="P38" s="19">
        <v>8505</v>
      </c>
      <c r="Q38" s="19">
        <v>29465</v>
      </c>
      <c r="R38" s="19">
        <v>7555</v>
      </c>
      <c r="S38" s="10">
        <v>10025</v>
      </c>
    </row>
    <row r="39" spans="1:19" ht="12.75" x14ac:dyDescent="0.25">
      <c r="A39" s="193" t="s">
        <v>159</v>
      </c>
      <c r="B39" s="24" t="s">
        <v>702</v>
      </c>
      <c r="C39" s="69">
        <v>1677000</v>
      </c>
      <c r="D39" s="12">
        <v>549968.89</v>
      </c>
      <c r="E39" s="245">
        <f t="shared" si="2"/>
        <v>0.32794805605247468</v>
      </c>
      <c r="F39" s="163">
        <f>SUM(Tabela11[[#This Row],[GOVERNANÇA
Direção e Liderança]:[GESTÃO
Infraestrutura
]])</f>
        <v>1354150</v>
      </c>
      <c r="G39" s="224">
        <f t="shared" si="0"/>
        <v>4.454440789473684E-3</v>
      </c>
      <c r="H39" s="233">
        <f>Tabela11[[#This Row],[Proposta Orçamentária 2023]]/Tabela11[[#This Row],[Dotação Atual
2022]]</f>
        <v>0.80748360166964817</v>
      </c>
      <c r="I39" s="19">
        <v>131380</v>
      </c>
      <c r="J39" s="19">
        <v>149125</v>
      </c>
      <c r="K39" s="19">
        <v>60405</v>
      </c>
      <c r="L39" s="121">
        <v>238335</v>
      </c>
      <c r="M39" s="19">
        <v>17795</v>
      </c>
      <c r="N39" s="19">
        <v>0</v>
      </c>
      <c r="O39" s="121">
        <v>198745</v>
      </c>
      <c r="P39" s="19">
        <v>127335</v>
      </c>
      <c r="Q39" s="19">
        <v>294325</v>
      </c>
      <c r="R39" s="19">
        <v>79830</v>
      </c>
      <c r="S39" s="10">
        <v>56875</v>
      </c>
    </row>
    <row r="40" spans="1:19" ht="12.75" x14ac:dyDescent="0.25">
      <c r="A40" s="193" t="s">
        <v>330</v>
      </c>
      <c r="B40" s="24" t="s">
        <v>703</v>
      </c>
      <c r="C40" s="69">
        <v>15000</v>
      </c>
      <c r="D40" s="12">
        <v>0</v>
      </c>
      <c r="E40" s="245">
        <f t="shared" si="2"/>
        <v>0</v>
      </c>
      <c r="F40" s="163">
        <f>SUM(Tabela11[[#This Row],[GOVERNANÇA
Direção e Liderança]:[GESTÃO
Infraestrutura
]])</f>
        <v>15000</v>
      </c>
      <c r="G40" s="224">
        <f t="shared" si="0"/>
        <v>4.9342105263157894E-5</v>
      </c>
      <c r="H40" s="233">
        <f>Tabela11[[#This Row],[Proposta Orçamentária 2023]]/Tabela11[[#This Row],[Dotação Atual
2022]]</f>
        <v>1</v>
      </c>
      <c r="I40" s="19">
        <v>0</v>
      </c>
      <c r="J40" s="19">
        <v>0</v>
      </c>
      <c r="K40" s="19">
        <v>0</v>
      </c>
      <c r="L40" s="121">
        <v>0</v>
      </c>
      <c r="M40" s="19">
        <v>0</v>
      </c>
      <c r="N40" s="19">
        <v>0</v>
      </c>
      <c r="O40" s="121">
        <v>0</v>
      </c>
      <c r="P40" s="19">
        <v>0</v>
      </c>
      <c r="Q40" s="19">
        <v>15000</v>
      </c>
      <c r="R40" s="19">
        <v>0</v>
      </c>
      <c r="S40" s="10">
        <v>0</v>
      </c>
    </row>
    <row r="41" spans="1:19" s="5" customFormat="1" ht="12.75" x14ac:dyDescent="0.25">
      <c r="A41" s="192" t="s">
        <v>161</v>
      </c>
      <c r="B41" s="23" t="s">
        <v>162</v>
      </c>
      <c r="C41" s="68">
        <f>SUM(C42:C45)</f>
        <v>1771500</v>
      </c>
      <c r="D41" s="11">
        <f>SUM(D42:D45)</f>
        <v>686463.13</v>
      </c>
      <c r="E41" s="243">
        <f t="shared" si="2"/>
        <v>0.38750388371436634</v>
      </c>
      <c r="F41" s="162">
        <f>SUM(Tabela11[[#This Row],[GOVERNANÇA
Direção e Liderança]:[GESTÃO
Infraestrutura
]])</f>
        <v>2396900</v>
      </c>
      <c r="G41" s="223">
        <f t="shared" si="0"/>
        <v>7.8845394736842111E-3</v>
      </c>
      <c r="H41" s="231">
        <f>Tabela11[[#This Row],[Proposta Orçamentária 2023]]/Tabela11[[#This Row],[Dotação Atual
2022]]</f>
        <v>1.3530341518487157</v>
      </c>
      <c r="I41" s="20">
        <f t="shared" ref="I41:S41" si="13">SUM(I42:I45)</f>
        <v>200320</v>
      </c>
      <c r="J41" s="20">
        <f t="shared" si="13"/>
        <v>247520</v>
      </c>
      <c r="K41" s="20">
        <f t="shared" si="13"/>
        <v>85900</v>
      </c>
      <c r="L41" s="119">
        <f t="shared" si="13"/>
        <v>408970</v>
      </c>
      <c r="M41" s="20">
        <f t="shared" si="13"/>
        <v>50405</v>
      </c>
      <c r="N41" s="20">
        <f t="shared" si="13"/>
        <v>0</v>
      </c>
      <c r="O41" s="119">
        <f t="shared" si="13"/>
        <v>305180</v>
      </c>
      <c r="P41" s="20">
        <f t="shared" si="13"/>
        <v>142665</v>
      </c>
      <c r="Q41" s="20">
        <f t="shared" si="13"/>
        <v>693680</v>
      </c>
      <c r="R41" s="20">
        <f t="shared" si="13"/>
        <v>142665</v>
      </c>
      <c r="S41" s="7">
        <f t="shared" si="13"/>
        <v>119595</v>
      </c>
    </row>
    <row r="42" spans="1:19" ht="12.75" x14ac:dyDescent="0.25">
      <c r="A42" s="193" t="s">
        <v>163</v>
      </c>
      <c r="B42" s="24" t="s">
        <v>704</v>
      </c>
      <c r="C42" s="69">
        <v>35450</v>
      </c>
      <c r="D42" s="12">
        <v>15488.53</v>
      </c>
      <c r="E42" s="245">
        <f t="shared" si="2"/>
        <v>0.43691198871650211</v>
      </c>
      <c r="F42" s="163">
        <f>SUM(Tabela11[[#This Row],[GOVERNANÇA
Direção e Liderança]:[GESTÃO
Infraestrutura
]])</f>
        <v>50400</v>
      </c>
      <c r="G42" s="224">
        <f t="shared" ref="G42:G73" si="14">+F42/$F$10</f>
        <v>1.6578947368421052E-4</v>
      </c>
      <c r="H42" s="233">
        <f>Tabela11[[#This Row],[Proposta Orçamentária 2023]]/Tabela11[[#This Row],[Dotação Atual
2022]]</f>
        <v>1.4217207334273625</v>
      </c>
      <c r="I42" s="19">
        <v>0</v>
      </c>
      <c r="J42" s="19">
        <v>12600</v>
      </c>
      <c r="K42" s="19">
        <v>0</v>
      </c>
      <c r="L42" s="121">
        <v>12600</v>
      </c>
      <c r="M42" s="19">
        <v>0</v>
      </c>
      <c r="N42" s="19">
        <v>0</v>
      </c>
      <c r="O42" s="121">
        <v>12600</v>
      </c>
      <c r="P42" s="19">
        <v>0</v>
      </c>
      <c r="Q42" s="19">
        <v>12600</v>
      </c>
      <c r="R42" s="19">
        <v>0</v>
      </c>
      <c r="S42" s="10">
        <v>0</v>
      </c>
    </row>
    <row r="43" spans="1:19" ht="12.75" x14ac:dyDescent="0.25">
      <c r="A43" s="193" t="s">
        <v>164</v>
      </c>
      <c r="B43" s="24" t="s">
        <v>705</v>
      </c>
      <c r="C43" s="69">
        <v>300000</v>
      </c>
      <c r="D43" s="12">
        <v>129403.84</v>
      </c>
      <c r="E43" s="245">
        <f t="shared" ref="E43:E68" si="15">+D43/C43</f>
        <v>0.43134613333333333</v>
      </c>
      <c r="F43" s="163">
        <f>SUM(Tabela11[[#This Row],[GOVERNANÇA
Direção e Liderança]:[GESTÃO
Infraestrutura
]])</f>
        <v>319300</v>
      </c>
      <c r="G43" s="224">
        <f t="shared" si="14"/>
        <v>1.050328947368421E-3</v>
      </c>
      <c r="H43" s="233">
        <f>Tabela11[[#This Row],[Proposta Orçamentária 2023]]/Tabela11[[#This Row],[Dotação Atual
2022]]</f>
        <v>1.0643333333333334</v>
      </c>
      <c r="I43" s="19">
        <v>0</v>
      </c>
      <c r="J43" s="19">
        <v>0</v>
      </c>
      <c r="K43" s="19">
        <v>0</v>
      </c>
      <c r="L43" s="121">
        <v>0</v>
      </c>
      <c r="M43" s="19">
        <v>0</v>
      </c>
      <c r="N43" s="19">
        <v>0</v>
      </c>
      <c r="O43" s="121">
        <v>0</v>
      </c>
      <c r="P43" s="19">
        <v>0</v>
      </c>
      <c r="Q43" s="19">
        <v>319300</v>
      </c>
      <c r="R43" s="19">
        <v>0</v>
      </c>
      <c r="S43" s="10">
        <v>0</v>
      </c>
    </row>
    <row r="44" spans="1:19" ht="12.75" x14ac:dyDescent="0.25">
      <c r="A44" s="193" t="s">
        <v>165</v>
      </c>
      <c r="B44" s="24" t="s">
        <v>706</v>
      </c>
      <c r="C44" s="69">
        <v>169550</v>
      </c>
      <c r="D44" s="12">
        <v>24786.47</v>
      </c>
      <c r="E44" s="245">
        <f t="shared" si="15"/>
        <v>0.14618973754054851</v>
      </c>
      <c r="F44" s="163">
        <f>SUM(Tabela11[[#This Row],[GOVERNANÇA
Direção e Liderança]:[GESTÃO
Infraestrutura
]])</f>
        <v>158000</v>
      </c>
      <c r="G44" s="224">
        <f t="shared" si="14"/>
        <v>5.1973684210526315E-4</v>
      </c>
      <c r="H44" s="233">
        <f>Tabela11[[#This Row],[Proposta Orçamentária 2023]]/Tabela11[[#This Row],[Dotação Atual
2022]]</f>
        <v>0.93187850191683874</v>
      </c>
      <c r="I44" s="19">
        <v>15800</v>
      </c>
      <c r="J44" s="19">
        <v>15800</v>
      </c>
      <c r="K44" s="19">
        <v>15800</v>
      </c>
      <c r="L44" s="121">
        <v>15800</v>
      </c>
      <c r="M44" s="19">
        <v>15800</v>
      </c>
      <c r="N44" s="19">
        <v>0</v>
      </c>
      <c r="O44" s="121">
        <v>15800</v>
      </c>
      <c r="P44" s="19">
        <v>15800</v>
      </c>
      <c r="Q44" s="19">
        <v>15800</v>
      </c>
      <c r="R44" s="19">
        <v>15800</v>
      </c>
      <c r="S44" s="10">
        <v>15800</v>
      </c>
    </row>
    <row r="45" spans="1:19" ht="12.75" x14ac:dyDescent="0.25">
      <c r="A45" s="193" t="s">
        <v>901</v>
      </c>
      <c r="B45" s="24" t="s">
        <v>1353</v>
      </c>
      <c r="C45" s="70">
        <v>1266500</v>
      </c>
      <c r="D45" s="67">
        <v>516784.29</v>
      </c>
      <c r="E45" s="245">
        <f t="shared" si="15"/>
        <v>0.40804128701144887</v>
      </c>
      <c r="F45" s="164">
        <f>SUM(Tabela11[[#This Row],[GOVERNANÇA
Direção e Liderança]:[GESTÃO
Infraestrutura
]])</f>
        <v>1869200</v>
      </c>
      <c r="G45" s="224">
        <f t="shared" si="14"/>
        <v>6.1486842105263157E-3</v>
      </c>
      <c r="H45" s="233">
        <f>Tabela11[[#This Row],[Proposta Orçamentária 2023]]/Tabela11[[#This Row],[Dotação Atual
2022]]</f>
        <v>1.4758784050532965</v>
      </c>
      <c r="I45" s="19">
        <v>184520</v>
      </c>
      <c r="J45" s="19">
        <v>219120</v>
      </c>
      <c r="K45" s="19">
        <v>70100</v>
      </c>
      <c r="L45" s="121">
        <v>380570</v>
      </c>
      <c r="M45" s="19">
        <v>34605</v>
      </c>
      <c r="N45" s="19">
        <v>0</v>
      </c>
      <c r="O45" s="121">
        <v>276780</v>
      </c>
      <c r="P45" s="19">
        <v>126865</v>
      </c>
      <c r="Q45" s="19">
        <v>345980</v>
      </c>
      <c r="R45" s="19">
        <v>126865</v>
      </c>
      <c r="S45" s="10">
        <v>103795</v>
      </c>
    </row>
    <row r="46" spans="1:19" ht="12.75" x14ac:dyDescent="0.25">
      <c r="A46" s="192" t="s">
        <v>167</v>
      </c>
      <c r="B46" s="23" t="s">
        <v>168</v>
      </c>
      <c r="C46" s="68">
        <f>+C47+C56+C58+C60+C64+C68+C72+C76</f>
        <v>114156494.62</v>
      </c>
      <c r="D46" s="11">
        <f>+D47+D56+D58+D60+D64+D68+D72+D76</f>
        <v>23092897.759999998</v>
      </c>
      <c r="E46" s="243">
        <f t="shared" si="15"/>
        <v>0.20229158084146504</v>
      </c>
      <c r="F46" s="162">
        <f>SUM(Tabela11[[#This Row],[GOVERNANÇA
Direção e Liderança]:[GESTÃO
Infraestrutura
]])</f>
        <v>155675000</v>
      </c>
      <c r="G46" s="223">
        <f t="shared" si="14"/>
        <v>0.51208881578947374</v>
      </c>
      <c r="H46" s="231">
        <f>Tabela11[[#This Row],[Proposta Orçamentária 2023]]/Tabela11[[#This Row],[Dotação Atual
2022]]</f>
        <v>1.3636981454117463</v>
      </c>
      <c r="I46" s="20">
        <f t="shared" ref="I46:S46" si="16">+I47+I56+I60+I64+I68+I72+I76</f>
        <v>16927455</v>
      </c>
      <c r="J46" s="20">
        <f t="shared" ref="J46" si="17">+J47+J56+J60+J64+J68+J72+J76</f>
        <v>18858080</v>
      </c>
      <c r="K46" s="20">
        <f t="shared" si="16"/>
        <v>8959080</v>
      </c>
      <c r="L46" s="119">
        <f t="shared" si="16"/>
        <v>2367850</v>
      </c>
      <c r="M46" s="20">
        <f t="shared" si="16"/>
        <v>645000</v>
      </c>
      <c r="N46" s="20">
        <f t="shared" si="16"/>
        <v>200000</v>
      </c>
      <c r="O46" s="119">
        <f t="shared" si="16"/>
        <v>6765590</v>
      </c>
      <c r="P46" s="20">
        <f t="shared" si="16"/>
        <v>54348340</v>
      </c>
      <c r="Q46" s="20">
        <f t="shared" si="16"/>
        <v>2326255</v>
      </c>
      <c r="R46" s="20">
        <f t="shared" si="16"/>
        <v>30894000</v>
      </c>
      <c r="S46" s="7">
        <f t="shared" si="16"/>
        <v>13383350</v>
      </c>
    </row>
    <row r="47" spans="1:19" s="5" customFormat="1" ht="12.75" x14ac:dyDescent="0.25">
      <c r="A47" s="192" t="s">
        <v>169</v>
      </c>
      <c r="B47" s="23" t="s">
        <v>170</v>
      </c>
      <c r="C47" s="68">
        <f>SUM(C48:C55)</f>
        <v>1413500</v>
      </c>
      <c r="D47" s="11">
        <f>SUM(D48:D55)</f>
        <v>14325.67</v>
      </c>
      <c r="E47" s="243">
        <f t="shared" si="15"/>
        <v>1.0134892111779271E-2</v>
      </c>
      <c r="F47" s="162">
        <f>SUM(Tabela11[[#This Row],[GOVERNANÇA
Direção e Liderança]:[GESTÃO
Infraestrutura
]])</f>
        <v>3105000</v>
      </c>
      <c r="G47" s="223">
        <f t="shared" si="14"/>
        <v>1.0213815789473684E-2</v>
      </c>
      <c r="H47" s="231">
        <f>Tabela11[[#This Row],[Proposta Orçamentária 2023]]/Tabela11[[#This Row],[Dotação Atual
2022]]</f>
        <v>2.1966749204103291</v>
      </c>
      <c r="I47" s="20">
        <f t="shared" ref="I47:S47" si="18">SUM(I48:I55)</f>
        <v>0</v>
      </c>
      <c r="J47" s="20">
        <f t="shared" ref="J47" si="19">SUM(J48:J55)</f>
        <v>0</v>
      </c>
      <c r="K47" s="20">
        <f t="shared" si="18"/>
        <v>0</v>
      </c>
      <c r="L47" s="119">
        <f t="shared" si="18"/>
        <v>0</v>
      </c>
      <c r="M47" s="20">
        <f t="shared" si="18"/>
        <v>0</v>
      </c>
      <c r="N47" s="20">
        <f t="shared" si="18"/>
        <v>0</v>
      </c>
      <c r="O47" s="119">
        <f t="shared" si="18"/>
        <v>0</v>
      </c>
      <c r="P47" s="20">
        <f t="shared" si="18"/>
        <v>0</v>
      </c>
      <c r="Q47" s="20">
        <f t="shared" si="18"/>
        <v>0</v>
      </c>
      <c r="R47" s="20">
        <f t="shared" si="18"/>
        <v>3000000</v>
      </c>
      <c r="S47" s="7">
        <f t="shared" si="18"/>
        <v>105000</v>
      </c>
    </row>
    <row r="48" spans="1:19" ht="12.75" x14ac:dyDescent="0.25">
      <c r="A48" s="193" t="s">
        <v>171</v>
      </c>
      <c r="B48" s="24" t="s">
        <v>707</v>
      </c>
      <c r="C48" s="69">
        <v>65000</v>
      </c>
      <c r="D48" s="12">
        <v>1130</v>
      </c>
      <c r="E48" s="245">
        <f t="shared" si="15"/>
        <v>1.7384615384615384E-2</v>
      </c>
      <c r="F48" s="163">
        <f>SUM(Tabela11[[#This Row],[GOVERNANÇA
Direção e Liderança]:[GESTÃO
Infraestrutura
]])</f>
        <v>60000</v>
      </c>
      <c r="G48" s="224">
        <f t="shared" si="14"/>
        <v>1.9736842105263157E-4</v>
      </c>
      <c r="H48" s="233">
        <f>Tabela11[[#This Row],[Proposta Orçamentária 2023]]/Tabela11[[#This Row],[Dotação Atual
2022]]</f>
        <v>0.92307692307692313</v>
      </c>
      <c r="I48" s="19">
        <v>0</v>
      </c>
      <c r="J48" s="19">
        <v>0</v>
      </c>
      <c r="K48" s="19">
        <v>0</v>
      </c>
      <c r="L48" s="121">
        <v>0</v>
      </c>
      <c r="M48" s="19">
        <v>0</v>
      </c>
      <c r="N48" s="19">
        <v>0</v>
      </c>
      <c r="O48" s="121">
        <v>0</v>
      </c>
      <c r="P48" s="19">
        <v>0</v>
      </c>
      <c r="Q48" s="19">
        <v>0</v>
      </c>
      <c r="R48" s="19">
        <v>0</v>
      </c>
      <c r="S48" s="10">
        <v>60000</v>
      </c>
    </row>
    <row r="49" spans="1:21" ht="12.75" x14ac:dyDescent="0.25">
      <c r="A49" s="193" t="s">
        <v>172</v>
      </c>
      <c r="B49" s="24" t="s">
        <v>708</v>
      </c>
      <c r="C49" s="69">
        <v>0</v>
      </c>
      <c r="D49" s="12">
        <v>0</v>
      </c>
      <c r="E49" s="245" t="e">
        <f t="shared" si="15"/>
        <v>#DIV/0!</v>
      </c>
      <c r="F49" s="163">
        <f>SUM(Tabela11[[#This Row],[GOVERNANÇA
Direção e Liderança]:[GESTÃO
Infraestrutura
]])</f>
        <v>0</v>
      </c>
      <c r="G49" s="224">
        <f t="shared" si="14"/>
        <v>0</v>
      </c>
      <c r="H49" s="233" t="e">
        <f>Tabela11[[#This Row],[Proposta Orçamentária 2023]]/Tabela11[[#This Row],[Dotação Atual
2022]]</f>
        <v>#DIV/0!</v>
      </c>
      <c r="I49" s="19">
        <v>0</v>
      </c>
      <c r="J49" s="19">
        <v>0</v>
      </c>
      <c r="K49" s="19">
        <v>0</v>
      </c>
      <c r="L49" s="121">
        <v>0</v>
      </c>
      <c r="M49" s="19">
        <v>0</v>
      </c>
      <c r="N49" s="19">
        <v>0</v>
      </c>
      <c r="O49" s="121">
        <v>0</v>
      </c>
      <c r="P49" s="19">
        <v>0</v>
      </c>
      <c r="Q49" s="19">
        <v>0</v>
      </c>
      <c r="R49" s="19">
        <v>0</v>
      </c>
      <c r="S49" s="10">
        <v>0</v>
      </c>
    </row>
    <row r="50" spans="1:21" ht="12.75" x14ac:dyDescent="0.25">
      <c r="A50" s="193" t="s">
        <v>173</v>
      </c>
      <c r="B50" s="24" t="s">
        <v>709</v>
      </c>
      <c r="C50" s="69">
        <v>500</v>
      </c>
      <c r="D50" s="12">
        <v>0</v>
      </c>
      <c r="E50" s="245">
        <f t="shared" si="15"/>
        <v>0</v>
      </c>
      <c r="F50" s="163">
        <f>SUM(Tabela11[[#This Row],[GOVERNANÇA
Direção e Liderança]:[GESTÃO
Infraestrutura
]])</f>
        <v>0</v>
      </c>
      <c r="G50" s="224">
        <f t="shared" si="14"/>
        <v>0</v>
      </c>
      <c r="H50" s="233">
        <f>Tabela11[[#This Row],[Proposta Orçamentária 2023]]/Tabela11[[#This Row],[Dotação Atual
2022]]</f>
        <v>0</v>
      </c>
      <c r="I50" s="19">
        <v>0</v>
      </c>
      <c r="J50" s="19">
        <v>0</v>
      </c>
      <c r="K50" s="19">
        <v>0</v>
      </c>
      <c r="L50" s="121">
        <v>0</v>
      </c>
      <c r="M50" s="19">
        <v>0</v>
      </c>
      <c r="N50" s="19">
        <v>0</v>
      </c>
      <c r="O50" s="121">
        <v>0</v>
      </c>
      <c r="P50" s="19">
        <v>0</v>
      </c>
      <c r="Q50" s="19">
        <v>0</v>
      </c>
      <c r="R50" s="19">
        <v>0</v>
      </c>
      <c r="S50" s="10">
        <v>0</v>
      </c>
    </row>
    <row r="51" spans="1:21" ht="12.75" x14ac:dyDescent="0.25">
      <c r="A51" s="193" t="s">
        <v>175</v>
      </c>
      <c r="B51" s="24" t="s">
        <v>710</v>
      </c>
      <c r="C51" s="69">
        <v>1265000</v>
      </c>
      <c r="D51" s="12">
        <v>0</v>
      </c>
      <c r="E51" s="245">
        <f t="shared" si="15"/>
        <v>0</v>
      </c>
      <c r="F51" s="163">
        <f>SUM(Tabela11[[#This Row],[GOVERNANÇA
Direção e Liderança]:[GESTÃO
Infraestrutura
]])</f>
        <v>0</v>
      </c>
      <c r="G51" s="224">
        <f t="shared" si="14"/>
        <v>0</v>
      </c>
      <c r="H51" s="233">
        <f>Tabela11[[#This Row],[Proposta Orçamentária 2023]]/Tabela11[[#This Row],[Dotação Atual
2022]]</f>
        <v>0</v>
      </c>
      <c r="I51" s="19">
        <v>0</v>
      </c>
      <c r="J51" s="19">
        <v>0</v>
      </c>
      <c r="K51" s="19">
        <v>0</v>
      </c>
      <c r="L51" s="121">
        <v>0</v>
      </c>
      <c r="M51" s="19">
        <v>0</v>
      </c>
      <c r="N51" s="19">
        <v>0</v>
      </c>
      <c r="O51" s="121">
        <v>0</v>
      </c>
      <c r="P51" s="19">
        <v>0</v>
      </c>
      <c r="Q51" s="19">
        <v>0</v>
      </c>
      <c r="R51" s="19">
        <v>0</v>
      </c>
      <c r="S51" s="10">
        <v>0</v>
      </c>
    </row>
    <row r="52" spans="1:21" ht="12.75" x14ac:dyDescent="0.25">
      <c r="A52" s="193" t="s">
        <v>176</v>
      </c>
      <c r="B52" s="24" t="s">
        <v>1364</v>
      </c>
      <c r="C52" s="69">
        <v>0</v>
      </c>
      <c r="D52" s="12">
        <v>0</v>
      </c>
      <c r="E52" s="245" t="e">
        <f t="shared" ref="E52" si="20">+D52/C52</f>
        <v>#DIV/0!</v>
      </c>
      <c r="F52" s="163">
        <f>SUM(Tabela11[[#This Row],[GOVERNANÇA
Direção e Liderança]:[GESTÃO
Infraestrutura
]])</f>
        <v>3000000</v>
      </c>
      <c r="G52" s="224">
        <f t="shared" si="14"/>
        <v>9.8684210526315784E-3</v>
      </c>
      <c r="H52" s="233" t="e">
        <f>Tabela11[[#This Row],[Proposta Orçamentária 2023]]/Tabela11[[#This Row],[Dotação Atual
2022]]</f>
        <v>#DIV/0!</v>
      </c>
      <c r="I52" s="19">
        <v>0</v>
      </c>
      <c r="J52" s="19">
        <v>0</v>
      </c>
      <c r="K52" s="19">
        <v>0</v>
      </c>
      <c r="L52" s="121">
        <v>0</v>
      </c>
      <c r="M52" s="19">
        <v>0</v>
      </c>
      <c r="N52" s="19">
        <v>0</v>
      </c>
      <c r="O52" s="121">
        <v>0</v>
      </c>
      <c r="P52" s="19">
        <v>0</v>
      </c>
      <c r="Q52" s="19">
        <v>0</v>
      </c>
      <c r="R52" s="19">
        <v>3000000</v>
      </c>
      <c r="S52" s="10">
        <v>0</v>
      </c>
    </row>
    <row r="53" spans="1:21" ht="12.75" x14ac:dyDescent="0.25">
      <c r="A53" s="193" t="s">
        <v>177</v>
      </c>
      <c r="B53" s="24" t="s">
        <v>711</v>
      </c>
      <c r="C53" s="69">
        <v>0</v>
      </c>
      <c r="D53" s="12">
        <v>0</v>
      </c>
      <c r="E53" s="245" t="e">
        <f t="shared" si="15"/>
        <v>#DIV/0!</v>
      </c>
      <c r="F53" s="163">
        <f>SUM(Tabela11[[#This Row],[GOVERNANÇA
Direção e Liderança]:[GESTÃO
Infraestrutura
]])</f>
        <v>0</v>
      </c>
      <c r="G53" s="224">
        <f t="shared" si="14"/>
        <v>0</v>
      </c>
      <c r="H53" s="233" t="e">
        <f>Tabela11[[#This Row],[Proposta Orçamentária 2023]]/Tabela11[[#This Row],[Dotação Atual
2022]]</f>
        <v>#DIV/0!</v>
      </c>
      <c r="I53" s="19">
        <v>0</v>
      </c>
      <c r="J53" s="19">
        <v>0</v>
      </c>
      <c r="K53" s="19">
        <v>0</v>
      </c>
      <c r="L53" s="121">
        <v>0</v>
      </c>
      <c r="M53" s="19">
        <v>0</v>
      </c>
      <c r="N53" s="19">
        <v>0</v>
      </c>
      <c r="O53" s="121">
        <v>0</v>
      </c>
      <c r="P53" s="19">
        <v>0</v>
      </c>
      <c r="Q53" s="19">
        <v>0</v>
      </c>
      <c r="R53" s="19">
        <v>0</v>
      </c>
      <c r="S53" s="10">
        <v>0</v>
      </c>
    </row>
    <row r="54" spans="1:21" ht="12.75" x14ac:dyDescent="0.25">
      <c r="A54" s="193" t="s">
        <v>178</v>
      </c>
      <c r="B54" s="24" t="s">
        <v>712</v>
      </c>
      <c r="C54" s="69">
        <v>3000</v>
      </c>
      <c r="D54" s="12">
        <v>0</v>
      </c>
      <c r="E54" s="245">
        <f t="shared" si="15"/>
        <v>0</v>
      </c>
      <c r="F54" s="163">
        <f>SUM(Tabela11[[#This Row],[GOVERNANÇA
Direção e Liderança]:[GESTÃO
Infraestrutura
]])</f>
        <v>0</v>
      </c>
      <c r="G54" s="224">
        <f t="shared" si="14"/>
        <v>0</v>
      </c>
      <c r="H54" s="233">
        <f>Tabela11[[#This Row],[Proposta Orçamentária 2023]]/Tabela11[[#This Row],[Dotação Atual
2022]]</f>
        <v>0</v>
      </c>
      <c r="I54" s="19">
        <v>0</v>
      </c>
      <c r="J54" s="19">
        <v>0</v>
      </c>
      <c r="K54" s="19">
        <v>0</v>
      </c>
      <c r="L54" s="121">
        <v>0</v>
      </c>
      <c r="M54" s="19">
        <v>0</v>
      </c>
      <c r="N54" s="19">
        <v>0</v>
      </c>
      <c r="O54" s="121">
        <v>0</v>
      </c>
      <c r="P54" s="19">
        <v>0</v>
      </c>
      <c r="Q54" s="19">
        <v>0</v>
      </c>
      <c r="R54" s="19">
        <v>0</v>
      </c>
      <c r="S54" s="10">
        <v>0</v>
      </c>
    </row>
    <row r="55" spans="1:21" ht="12.75" x14ac:dyDescent="0.25">
      <c r="A55" s="193" t="s">
        <v>179</v>
      </c>
      <c r="B55" s="24" t="s">
        <v>713</v>
      </c>
      <c r="C55" s="69">
        <v>80000</v>
      </c>
      <c r="D55" s="12">
        <v>13195.67</v>
      </c>
      <c r="E55" s="245">
        <f t="shared" si="15"/>
        <v>0.16494587499999999</v>
      </c>
      <c r="F55" s="163">
        <f>SUM(Tabela11[[#This Row],[GOVERNANÇA
Direção e Liderança]:[GESTÃO
Infraestrutura
]])</f>
        <v>45000</v>
      </c>
      <c r="G55" s="224">
        <f t="shared" si="14"/>
        <v>1.4802631578947369E-4</v>
      </c>
      <c r="H55" s="233">
        <f>Tabela11[[#This Row],[Proposta Orçamentária 2023]]/Tabela11[[#This Row],[Dotação Atual
2022]]</f>
        <v>0.5625</v>
      </c>
      <c r="I55" s="19">
        <v>0</v>
      </c>
      <c r="J55" s="19">
        <v>0</v>
      </c>
      <c r="K55" s="19">
        <v>0</v>
      </c>
      <c r="L55" s="121">
        <v>0</v>
      </c>
      <c r="M55" s="19">
        <v>0</v>
      </c>
      <c r="N55" s="19">
        <v>0</v>
      </c>
      <c r="O55" s="121">
        <v>0</v>
      </c>
      <c r="P55" s="19">
        <v>0</v>
      </c>
      <c r="Q55" s="19">
        <v>0</v>
      </c>
      <c r="R55" s="19">
        <v>0</v>
      </c>
      <c r="S55" s="10">
        <v>45000</v>
      </c>
    </row>
    <row r="56" spans="1:21" s="5" customFormat="1" ht="12.75" x14ac:dyDescent="0.25">
      <c r="A56" s="192" t="s">
        <v>180</v>
      </c>
      <c r="B56" s="23" t="s">
        <v>181</v>
      </c>
      <c r="C56" s="68">
        <f>SUM(C57:C57)</f>
        <v>30000</v>
      </c>
      <c r="D56" s="11">
        <f>SUM(D57:D57)</f>
        <v>9401.9</v>
      </c>
      <c r="E56" s="243">
        <f t="shared" si="15"/>
        <v>0.31339666666666666</v>
      </c>
      <c r="F56" s="162">
        <f>SUM(Tabela11[[#This Row],[GOVERNANÇA
Direção e Liderança]:[GESTÃO
Infraestrutura
]])</f>
        <v>24000</v>
      </c>
      <c r="G56" s="223">
        <f t="shared" si="14"/>
        <v>7.8947368421052633E-5</v>
      </c>
      <c r="H56" s="231">
        <f>Tabela11[[#This Row],[Proposta Orçamentária 2023]]/Tabela11[[#This Row],[Dotação Atual
2022]]</f>
        <v>0.8</v>
      </c>
      <c r="I56" s="20">
        <f t="shared" ref="I56:S58" si="21">SUM(I57:I57)</f>
        <v>0</v>
      </c>
      <c r="J56" s="20">
        <f t="shared" si="21"/>
        <v>0</v>
      </c>
      <c r="K56" s="20">
        <f t="shared" si="21"/>
        <v>0</v>
      </c>
      <c r="L56" s="119">
        <f t="shared" si="21"/>
        <v>0</v>
      </c>
      <c r="M56" s="20">
        <f t="shared" si="21"/>
        <v>0</v>
      </c>
      <c r="N56" s="20">
        <f t="shared" si="21"/>
        <v>0</v>
      </c>
      <c r="O56" s="119">
        <f t="shared" si="21"/>
        <v>0</v>
      </c>
      <c r="P56" s="20">
        <f t="shared" si="21"/>
        <v>0</v>
      </c>
      <c r="Q56" s="20">
        <f t="shared" si="21"/>
        <v>0</v>
      </c>
      <c r="R56" s="20">
        <f t="shared" si="21"/>
        <v>0</v>
      </c>
      <c r="S56" s="7">
        <f t="shared" si="21"/>
        <v>24000</v>
      </c>
    </row>
    <row r="57" spans="1:21" ht="12.75" x14ac:dyDescent="0.25">
      <c r="A57" s="193" t="s">
        <v>182</v>
      </c>
      <c r="B57" s="24" t="s">
        <v>714</v>
      </c>
      <c r="C57" s="69">
        <v>30000</v>
      </c>
      <c r="D57" s="12">
        <v>9401.9</v>
      </c>
      <c r="E57" s="245">
        <f t="shared" si="15"/>
        <v>0.31339666666666666</v>
      </c>
      <c r="F57" s="163">
        <f>SUM(Tabela11[[#This Row],[GOVERNANÇA
Direção e Liderança]:[GESTÃO
Infraestrutura
]])</f>
        <v>24000</v>
      </c>
      <c r="G57" s="224">
        <f t="shared" si="14"/>
        <v>7.8947368421052633E-5</v>
      </c>
      <c r="H57" s="233">
        <f>Tabela11[[#This Row],[Proposta Orçamentária 2023]]/Tabela11[[#This Row],[Dotação Atual
2022]]</f>
        <v>0.8</v>
      </c>
      <c r="I57" s="19">
        <v>0</v>
      </c>
      <c r="J57" s="19">
        <v>0</v>
      </c>
      <c r="K57" s="19">
        <v>0</v>
      </c>
      <c r="L57" s="121">
        <v>0</v>
      </c>
      <c r="M57" s="19">
        <v>0</v>
      </c>
      <c r="N57" s="19">
        <v>0</v>
      </c>
      <c r="O57" s="121">
        <v>0</v>
      </c>
      <c r="P57" s="19">
        <v>0</v>
      </c>
      <c r="Q57" s="19">
        <v>0</v>
      </c>
      <c r="R57" s="19">
        <v>0</v>
      </c>
      <c r="S57" s="10">
        <v>24000</v>
      </c>
    </row>
    <row r="58" spans="1:21" ht="12.75" x14ac:dyDescent="0.25">
      <c r="A58" s="192" t="s">
        <v>183</v>
      </c>
      <c r="B58" s="23" t="s">
        <v>1358</v>
      </c>
      <c r="C58" s="68">
        <f>SUM(C59:C59)</f>
        <v>5800</v>
      </c>
      <c r="D58" s="11">
        <f>SUM(D59:D59)</f>
        <v>5600</v>
      </c>
      <c r="E58" s="243">
        <f t="shared" ref="E58:E59" si="22">+D58/C58</f>
        <v>0.96551724137931039</v>
      </c>
      <c r="F58" s="162">
        <f>SUM(Tabela11[[#This Row],[GOVERNANÇA
Direção e Liderança]:[GESTÃO
Infraestrutura
]])</f>
        <v>0</v>
      </c>
      <c r="G58" s="223">
        <f t="shared" si="14"/>
        <v>0</v>
      </c>
      <c r="H58" s="231">
        <f>Tabela11[[#This Row],[Proposta Orçamentária 2023]]/Tabela11[[#This Row],[Dotação Atual
2022]]</f>
        <v>0</v>
      </c>
      <c r="I58" s="20">
        <f t="shared" si="21"/>
        <v>0</v>
      </c>
      <c r="J58" s="20">
        <f t="shared" si="21"/>
        <v>0</v>
      </c>
      <c r="K58" s="20">
        <f t="shared" si="21"/>
        <v>0</v>
      </c>
      <c r="L58" s="119">
        <f t="shared" si="21"/>
        <v>0</v>
      </c>
      <c r="M58" s="20">
        <f t="shared" si="21"/>
        <v>0</v>
      </c>
      <c r="N58" s="20">
        <f t="shared" si="21"/>
        <v>0</v>
      </c>
      <c r="O58" s="119">
        <f t="shared" si="21"/>
        <v>0</v>
      </c>
      <c r="P58" s="20">
        <f t="shared" si="21"/>
        <v>0</v>
      </c>
      <c r="Q58" s="20">
        <f t="shared" si="21"/>
        <v>0</v>
      </c>
      <c r="R58" s="20">
        <f t="shared" si="21"/>
        <v>0</v>
      </c>
      <c r="S58" s="7">
        <f t="shared" si="21"/>
        <v>0</v>
      </c>
      <c r="T58" s="5"/>
      <c r="U58" s="5"/>
    </row>
    <row r="59" spans="1:21" ht="12.75" x14ac:dyDescent="0.25">
      <c r="A59" s="193" t="s">
        <v>1357</v>
      </c>
      <c r="B59" s="24" t="s">
        <v>1359</v>
      </c>
      <c r="C59" s="69">
        <v>5800</v>
      </c>
      <c r="D59" s="12">
        <v>5600</v>
      </c>
      <c r="E59" s="245">
        <f t="shared" si="22"/>
        <v>0.96551724137931039</v>
      </c>
      <c r="F59" s="163">
        <f>SUM(Tabela11[[#This Row],[GOVERNANÇA
Direção e Liderança]:[GESTÃO
Infraestrutura
]])</f>
        <v>0</v>
      </c>
      <c r="G59" s="224">
        <f t="shared" si="14"/>
        <v>0</v>
      </c>
      <c r="H59" s="233">
        <f>Tabela11[[#This Row],[Proposta Orçamentária 2023]]/Tabela11[[#This Row],[Dotação Atual
2022]]</f>
        <v>0</v>
      </c>
      <c r="I59" s="19">
        <v>0</v>
      </c>
      <c r="J59" s="19">
        <v>0</v>
      </c>
      <c r="K59" s="19">
        <v>0</v>
      </c>
      <c r="L59" s="121">
        <v>0</v>
      </c>
      <c r="M59" s="19">
        <v>0</v>
      </c>
      <c r="N59" s="19">
        <v>0</v>
      </c>
      <c r="O59" s="121">
        <v>0</v>
      </c>
      <c r="P59" s="19">
        <v>0</v>
      </c>
      <c r="Q59" s="19">
        <v>0</v>
      </c>
      <c r="R59" s="19">
        <v>0</v>
      </c>
      <c r="S59" s="10">
        <v>0</v>
      </c>
    </row>
    <row r="60" spans="1:21" s="5" customFormat="1" ht="12.75" x14ac:dyDescent="0.25">
      <c r="A60" s="192" t="s">
        <v>184</v>
      </c>
      <c r="B60" s="23" t="s">
        <v>364</v>
      </c>
      <c r="C60" s="68">
        <f>SUM(C61:C63)</f>
        <v>1115500</v>
      </c>
      <c r="D60" s="11">
        <f>SUM(D61:D63)</f>
        <v>407370.43</v>
      </c>
      <c r="E60" s="243">
        <f t="shared" si="15"/>
        <v>0.36519088301210217</v>
      </c>
      <c r="F60" s="162">
        <f>SUM(Tabela11[[#This Row],[GOVERNANÇA
Direção e Liderança]:[GESTÃO
Infraestrutura
]])</f>
        <v>1233000</v>
      </c>
      <c r="G60" s="223">
        <f t="shared" si="14"/>
        <v>4.0559210526315793E-3</v>
      </c>
      <c r="H60" s="231">
        <f>Tabela11[[#This Row],[Proposta Orçamentária 2023]]/Tabela11[[#This Row],[Dotação Atual
2022]]</f>
        <v>1.105333930972658</v>
      </c>
      <c r="I60" s="20">
        <f t="shared" ref="I60:S60" si="23">SUM(I61:I63)</f>
        <v>301500</v>
      </c>
      <c r="J60" s="20">
        <f t="shared" ref="J60" si="24">SUM(J61:J63)</f>
        <v>51100</v>
      </c>
      <c r="K60" s="20">
        <f t="shared" si="23"/>
        <v>20000</v>
      </c>
      <c r="L60" s="119">
        <f t="shared" si="23"/>
        <v>0</v>
      </c>
      <c r="M60" s="20">
        <f t="shared" si="23"/>
        <v>0</v>
      </c>
      <c r="N60" s="20">
        <f t="shared" si="23"/>
        <v>0</v>
      </c>
      <c r="O60" s="119">
        <f t="shared" si="23"/>
        <v>860400</v>
      </c>
      <c r="P60" s="20">
        <f t="shared" si="23"/>
        <v>0</v>
      </c>
      <c r="Q60" s="20">
        <f t="shared" si="23"/>
        <v>0</v>
      </c>
      <c r="R60" s="20">
        <f t="shared" si="23"/>
        <v>0</v>
      </c>
      <c r="S60" s="7">
        <f t="shared" si="23"/>
        <v>0</v>
      </c>
    </row>
    <row r="61" spans="1:21" ht="12.75" x14ac:dyDescent="0.25">
      <c r="A61" s="193" t="s">
        <v>185</v>
      </c>
      <c r="B61" s="24" t="s">
        <v>717</v>
      </c>
      <c r="C61" s="69">
        <v>5000</v>
      </c>
      <c r="D61" s="12">
        <v>0</v>
      </c>
      <c r="E61" s="245">
        <f t="shared" si="15"/>
        <v>0</v>
      </c>
      <c r="F61" s="163">
        <f>SUM(Tabela11[[#This Row],[GOVERNANÇA
Direção e Liderança]:[GESTÃO
Infraestrutura
]])</f>
        <v>20000</v>
      </c>
      <c r="G61" s="224">
        <f t="shared" si="14"/>
        <v>6.5789473684210525E-5</v>
      </c>
      <c r="H61" s="233">
        <f>Tabela11[[#This Row],[Proposta Orçamentária 2023]]/Tabela11[[#This Row],[Dotação Atual
2022]]</f>
        <v>4</v>
      </c>
      <c r="I61" s="19">
        <v>0</v>
      </c>
      <c r="J61" s="19">
        <v>0</v>
      </c>
      <c r="K61" s="19">
        <v>20000</v>
      </c>
      <c r="L61" s="121">
        <v>0</v>
      </c>
      <c r="M61" s="19">
        <v>0</v>
      </c>
      <c r="N61" s="19">
        <v>0</v>
      </c>
      <c r="O61" s="121">
        <v>0</v>
      </c>
      <c r="P61" s="19">
        <v>0</v>
      </c>
      <c r="Q61" s="19">
        <v>0</v>
      </c>
      <c r="R61" s="19">
        <v>0</v>
      </c>
      <c r="S61" s="10">
        <v>0</v>
      </c>
    </row>
    <row r="62" spans="1:21" ht="12.75" x14ac:dyDescent="0.25">
      <c r="A62" s="45" t="s">
        <v>1354</v>
      </c>
      <c r="B62" s="71" t="s">
        <v>737</v>
      </c>
      <c r="C62" s="92">
        <v>500</v>
      </c>
      <c r="D62" s="19">
        <v>0</v>
      </c>
      <c r="E62" s="245">
        <f t="shared" si="15"/>
        <v>0</v>
      </c>
      <c r="F62" s="165">
        <f>SUM(Tabela11[[#This Row],[GOVERNANÇA
Direção e Liderança]:[GESTÃO
Infraestrutura
]])</f>
        <v>0</v>
      </c>
      <c r="G62" s="225">
        <f t="shared" si="14"/>
        <v>0</v>
      </c>
      <c r="H62" s="233">
        <f>Tabela11[[#This Row],[Proposta Orçamentária 2023]]/Tabela11[[#This Row],[Dotação Atual
2022]]</f>
        <v>0</v>
      </c>
      <c r="I62" s="19">
        <v>0</v>
      </c>
      <c r="J62" s="19">
        <v>0</v>
      </c>
      <c r="K62" s="19">
        <v>0</v>
      </c>
      <c r="L62" s="121">
        <v>0</v>
      </c>
      <c r="M62" s="19">
        <v>0</v>
      </c>
      <c r="N62" s="19">
        <v>0</v>
      </c>
      <c r="O62" s="121">
        <v>0</v>
      </c>
      <c r="P62" s="19">
        <v>0</v>
      </c>
      <c r="Q62" s="19">
        <v>0</v>
      </c>
      <c r="R62" s="19">
        <v>0</v>
      </c>
      <c r="S62" s="10">
        <v>0</v>
      </c>
    </row>
    <row r="63" spans="1:21" ht="12.75" x14ac:dyDescent="0.25">
      <c r="A63" s="193" t="s">
        <v>186</v>
      </c>
      <c r="B63" s="24" t="s">
        <v>724</v>
      </c>
      <c r="C63" s="69">
        <v>1110000</v>
      </c>
      <c r="D63" s="12">
        <v>407370.43</v>
      </c>
      <c r="E63" s="245">
        <f t="shared" si="15"/>
        <v>0.36700038738738738</v>
      </c>
      <c r="F63" s="163">
        <f>SUM(Tabela11[[#This Row],[GOVERNANÇA
Direção e Liderança]:[GESTÃO
Infraestrutura
]])</f>
        <v>1213000</v>
      </c>
      <c r="G63" s="224">
        <f t="shared" si="14"/>
        <v>3.9901315789473684E-3</v>
      </c>
      <c r="H63" s="233">
        <f>Tabela11[[#This Row],[Proposta Orçamentária 2023]]/Tabela11[[#This Row],[Dotação Atual
2022]]</f>
        <v>1.0927927927927927</v>
      </c>
      <c r="I63" s="19">
        <v>301500</v>
      </c>
      <c r="J63" s="19">
        <v>51100</v>
      </c>
      <c r="K63" s="19">
        <v>0</v>
      </c>
      <c r="L63" s="121">
        <v>0</v>
      </c>
      <c r="M63" s="19">
        <v>0</v>
      </c>
      <c r="N63" s="19">
        <v>0</v>
      </c>
      <c r="O63" s="121">
        <v>860400</v>
      </c>
      <c r="P63" s="19">
        <v>0</v>
      </c>
      <c r="Q63" s="19">
        <v>0</v>
      </c>
      <c r="R63" s="19">
        <v>0</v>
      </c>
      <c r="S63" s="10">
        <v>0</v>
      </c>
    </row>
    <row r="64" spans="1:21" s="5" customFormat="1" ht="12.75" x14ac:dyDescent="0.25">
      <c r="A64" s="192" t="s">
        <v>187</v>
      </c>
      <c r="B64" s="23" t="s">
        <v>188</v>
      </c>
      <c r="C64" s="68">
        <f>SUM(C65:C67)</f>
        <v>18689075</v>
      </c>
      <c r="D64" s="11">
        <f>SUM(D65:D67)</f>
        <v>3849389.9299999997</v>
      </c>
      <c r="E64" s="243">
        <f t="shared" si="15"/>
        <v>0.20597006165366663</v>
      </c>
      <c r="F64" s="162">
        <f>SUM(Tabela11[[#This Row],[GOVERNANÇA
Direção e Liderança]:[GESTÃO
Infraestrutura
]])</f>
        <v>22848000</v>
      </c>
      <c r="G64" s="223">
        <f t="shared" si="14"/>
        <v>7.5157894736842104E-2</v>
      </c>
      <c r="H64" s="231">
        <f>Tabela11[[#This Row],[Proposta Orçamentária 2023]]/Tabela11[[#This Row],[Dotação Atual
2022]]</f>
        <v>1.2225324153282064</v>
      </c>
      <c r="I64" s="20">
        <f>SUM(I65:I67)</f>
        <v>7185400</v>
      </c>
      <c r="J64" s="20">
        <f t="shared" ref="J64" si="25">SUM(J65:J67)</f>
        <v>9414200</v>
      </c>
      <c r="K64" s="20">
        <f t="shared" ref="K64:S64" si="26">SUM(K65:K67)</f>
        <v>1949500</v>
      </c>
      <c r="L64" s="119">
        <f t="shared" si="26"/>
        <v>422200</v>
      </c>
      <c r="M64" s="20">
        <f t="shared" si="26"/>
        <v>261000</v>
      </c>
      <c r="N64" s="20">
        <f t="shared" si="26"/>
        <v>95000</v>
      </c>
      <c r="O64" s="119">
        <f t="shared" si="26"/>
        <v>2904750</v>
      </c>
      <c r="P64" s="20">
        <f t="shared" si="26"/>
        <v>363500</v>
      </c>
      <c r="Q64" s="20">
        <f t="shared" si="26"/>
        <v>221950</v>
      </c>
      <c r="R64" s="20">
        <f t="shared" si="26"/>
        <v>30500</v>
      </c>
      <c r="S64" s="7">
        <f t="shared" si="26"/>
        <v>0</v>
      </c>
      <c r="T64" s="7"/>
    </row>
    <row r="65" spans="1:20" ht="12.75" x14ac:dyDescent="0.25">
      <c r="A65" s="193" t="s">
        <v>189</v>
      </c>
      <c r="B65" s="24" t="s">
        <v>725</v>
      </c>
      <c r="C65" s="69">
        <v>3054775</v>
      </c>
      <c r="D65" s="12">
        <v>658658.88</v>
      </c>
      <c r="E65" s="245">
        <f t="shared" si="15"/>
        <v>0.21561616813022236</v>
      </c>
      <c r="F65" s="163">
        <f>SUM(Tabela11[[#This Row],[GOVERNANÇA
Direção e Liderança]:[GESTÃO
Infraestrutura
]])</f>
        <v>3872400</v>
      </c>
      <c r="G65" s="224">
        <f t="shared" si="14"/>
        <v>1.2738157894736842E-2</v>
      </c>
      <c r="H65" s="233">
        <f>Tabela11[[#This Row],[Proposta Orçamentária 2023]]/Tabela11[[#This Row],[Dotação Atual
2022]]</f>
        <v>1.267654737255608</v>
      </c>
      <c r="I65" s="19">
        <v>359250</v>
      </c>
      <c r="J65" s="19">
        <v>885800</v>
      </c>
      <c r="K65" s="19">
        <v>1331350</v>
      </c>
      <c r="L65" s="121">
        <v>388200</v>
      </c>
      <c r="M65" s="19">
        <v>126000</v>
      </c>
      <c r="N65" s="19">
        <v>95000</v>
      </c>
      <c r="O65" s="121">
        <v>151850</v>
      </c>
      <c r="P65" s="19">
        <v>282500</v>
      </c>
      <c r="Q65" s="19">
        <v>221950</v>
      </c>
      <c r="R65" s="19">
        <v>30500</v>
      </c>
      <c r="S65" s="10">
        <v>0</v>
      </c>
    </row>
    <row r="66" spans="1:20" ht="12.75" x14ac:dyDescent="0.25">
      <c r="A66" s="193" t="s">
        <v>190</v>
      </c>
      <c r="B66" s="24" t="s">
        <v>726</v>
      </c>
      <c r="C66" s="69">
        <v>12182000</v>
      </c>
      <c r="D66" s="12">
        <v>2729662.77</v>
      </c>
      <c r="E66" s="245">
        <f t="shared" si="15"/>
        <v>0.2240734501723855</v>
      </c>
      <c r="F66" s="163">
        <f>SUM(Tabela11[[#This Row],[GOVERNANÇA
Direção e Liderança]:[GESTÃO
Infraestrutura
]])</f>
        <v>15524650</v>
      </c>
      <c r="G66" s="224">
        <f t="shared" si="14"/>
        <v>5.1067927631578948E-2</v>
      </c>
      <c r="H66" s="233">
        <f>Tabela11[[#This Row],[Proposta Orçamentária 2023]]/Tabela11[[#This Row],[Dotação Atual
2022]]</f>
        <v>1.2743925463799048</v>
      </c>
      <c r="I66" s="19">
        <v>6103100</v>
      </c>
      <c r="J66" s="19">
        <v>6510850</v>
      </c>
      <c r="K66" s="19">
        <v>450250</v>
      </c>
      <c r="L66" s="121">
        <v>34000</v>
      </c>
      <c r="M66" s="19">
        <v>135000</v>
      </c>
      <c r="N66" s="19">
        <v>0</v>
      </c>
      <c r="O66" s="121">
        <v>2252950</v>
      </c>
      <c r="P66" s="19">
        <v>38500</v>
      </c>
      <c r="Q66" s="19">
        <v>0</v>
      </c>
      <c r="R66" s="19">
        <v>0</v>
      </c>
      <c r="S66" s="10">
        <v>0</v>
      </c>
    </row>
    <row r="67" spans="1:20" ht="12.75" x14ac:dyDescent="0.25">
      <c r="A67" s="193" t="s">
        <v>191</v>
      </c>
      <c r="B67" s="24" t="s">
        <v>727</v>
      </c>
      <c r="C67" s="69">
        <v>3452300</v>
      </c>
      <c r="D67" s="12">
        <v>461068.28</v>
      </c>
      <c r="E67" s="245">
        <f t="shared" si="15"/>
        <v>0.13355394374764651</v>
      </c>
      <c r="F67" s="163">
        <f>SUM(Tabela11[[#This Row],[GOVERNANÇA
Direção e Liderança]:[GESTÃO
Infraestrutura
]])</f>
        <v>3450950</v>
      </c>
      <c r="G67" s="224">
        <f t="shared" si="14"/>
        <v>1.1351809210526316E-2</v>
      </c>
      <c r="H67" s="233">
        <f>Tabela11[[#This Row],[Proposta Orçamentária 2023]]/Tabela11[[#This Row],[Dotação Atual
2022]]</f>
        <v>0.999608956347942</v>
      </c>
      <c r="I67" s="19">
        <v>723050</v>
      </c>
      <c r="J67" s="19">
        <v>2017550</v>
      </c>
      <c r="K67" s="19">
        <v>167900</v>
      </c>
      <c r="L67" s="121">
        <v>0</v>
      </c>
      <c r="M67" s="19">
        <v>0</v>
      </c>
      <c r="N67" s="19">
        <v>0</v>
      </c>
      <c r="O67" s="121">
        <v>499950</v>
      </c>
      <c r="P67" s="19">
        <v>42500</v>
      </c>
      <c r="Q67" s="19">
        <v>0</v>
      </c>
      <c r="R67" s="19">
        <v>0</v>
      </c>
      <c r="S67" s="10">
        <v>0</v>
      </c>
    </row>
    <row r="68" spans="1:20" s="5" customFormat="1" ht="12.75" x14ac:dyDescent="0.25">
      <c r="A68" s="192" t="s">
        <v>192</v>
      </c>
      <c r="B68" s="23" t="s">
        <v>642</v>
      </c>
      <c r="C68" s="68">
        <f>SUM(C69:C71)</f>
        <v>2032049.62</v>
      </c>
      <c r="D68" s="11">
        <f>SUM(D69:D71)</f>
        <v>239792.03000000003</v>
      </c>
      <c r="E68" s="243">
        <f t="shared" si="15"/>
        <v>0.11800500718087781</v>
      </c>
      <c r="F68" s="162">
        <f>SUM(Tabela11[[#This Row],[GOVERNANÇA
Direção e Liderança]:[GESTÃO
Infraestrutura
]])</f>
        <v>2915000</v>
      </c>
      <c r="G68" s="223">
        <f t="shared" si="14"/>
        <v>9.5888157894736849E-3</v>
      </c>
      <c r="H68" s="231">
        <f>Tabela11[[#This Row],[Proposta Orçamentária 2023]]/Tabela11[[#This Row],[Dotação Atual
2022]]</f>
        <v>1.4345122143227977</v>
      </c>
      <c r="I68" s="20">
        <f>SUM(I69:I71)</f>
        <v>400250</v>
      </c>
      <c r="J68" s="20">
        <f t="shared" ref="J68" si="27">SUM(J69:J71)</f>
        <v>2125125</v>
      </c>
      <c r="K68" s="20">
        <f t="shared" ref="K68:S68" si="28">SUM(K69:K71)</f>
        <v>87105</v>
      </c>
      <c r="L68" s="119">
        <f t="shared" si="28"/>
        <v>15905</v>
      </c>
      <c r="M68" s="20">
        <f t="shared" si="28"/>
        <v>28745</v>
      </c>
      <c r="N68" s="20">
        <f t="shared" si="28"/>
        <v>4000</v>
      </c>
      <c r="O68" s="119">
        <f t="shared" si="28"/>
        <v>216225</v>
      </c>
      <c r="P68" s="20">
        <f t="shared" si="28"/>
        <v>26585</v>
      </c>
      <c r="Q68" s="20">
        <f t="shared" si="28"/>
        <v>8985</v>
      </c>
      <c r="R68" s="20">
        <f t="shared" si="28"/>
        <v>2075</v>
      </c>
      <c r="S68" s="7">
        <f t="shared" si="28"/>
        <v>0</v>
      </c>
      <c r="T68" s="7"/>
    </row>
    <row r="69" spans="1:20" ht="12.75" x14ac:dyDescent="0.25">
      <c r="A69" s="193" t="s">
        <v>193</v>
      </c>
      <c r="B69" s="24" t="s">
        <v>728</v>
      </c>
      <c r="C69" s="69">
        <v>315000</v>
      </c>
      <c r="D69" s="12">
        <v>52499.39</v>
      </c>
      <c r="E69" s="245">
        <f t="shared" ref="E69:E107" si="29">+D69/C69</f>
        <v>0.16666473015873015</v>
      </c>
      <c r="F69" s="163">
        <f>SUM(Tabela11[[#This Row],[GOVERNANÇA
Direção e Liderança]:[GESTÃO
Infraestrutura
]])</f>
        <v>418505</v>
      </c>
      <c r="G69" s="224">
        <f t="shared" si="14"/>
        <v>1.3766611842105263E-3</v>
      </c>
      <c r="H69" s="233">
        <f>Tabela11[[#This Row],[Proposta Orçamentária 2023]]/Tabela11[[#This Row],[Dotação Atual
2022]]</f>
        <v>1.3285873015873015</v>
      </c>
      <c r="I69" s="19">
        <v>143035</v>
      </c>
      <c r="J69" s="19">
        <v>139765</v>
      </c>
      <c r="K69" s="19">
        <v>59645</v>
      </c>
      <c r="L69" s="121">
        <v>15330</v>
      </c>
      <c r="M69" s="19">
        <v>12745</v>
      </c>
      <c r="N69" s="19">
        <v>4000</v>
      </c>
      <c r="O69" s="121">
        <v>12065</v>
      </c>
      <c r="P69" s="19">
        <v>20860</v>
      </c>
      <c r="Q69" s="19">
        <v>8985</v>
      </c>
      <c r="R69" s="19">
        <v>2075</v>
      </c>
      <c r="S69" s="10">
        <v>0</v>
      </c>
    </row>
    <row r="70" spans="1:20" ht="12.75" x14ac:dyDescent="0.25">
      <c r="A70" s="193" t="s">
        <v>194</v>
      </c>
      <c r="B70" s="24" t="s">
        <v>729</v>
      </c>
      <c r="C70" s="69">
        <v>1300149.6200000001</v>
      </c>
      <c r="D70" s="12">
        <v>166037.56</v>
      </c>
      <c r="E70" s="245">
        <f t="shared" si="29"/>
        <v>0.12770650196398164</v>
      </c>
      <c r="F70" s="163">
        <f>SUM(Tabela11[[#This Row],[GOVERNANÇA
Direção e Liderança]:[GESTÃO
Infraestrutura
]])</f>
        <v>2113245</v>
      </c>
      <c r="G70" s="224">
        <f t="shared" si="14"/>
        <v>6.9514638157894739E-3</v>
      </c>
      <c r="H70" s="233">
        <f>Tabela11[[#This Row],[Proposta Orçamentária 2023]]/Tabela11[[#This Row],[Dotação Atual
2022]]</f>
        <v>1.6253860074965831</v>
      </c>
      <c r="I70" s="19">
        <v>210950</v>
      </c>
      <c r="J70" s="19">
        <v>1711390</v>
      </c>
      <c r="K70" s="19">
        <v>20460</v>
      </c>
      <c r="L70" s="121">
        <v>575</v>
      </c>
      <c r="M70" s="19">
        <v>16000</v>
      </c>
      <c r="N70" s="19">
        <v>0</v>
      </c>
      <c r="O70" s="121">
        <v>151870</v>
      </c>
      <c r="P70" s="19">
        <v>2000</v>
      </c>
      <c r="Q70" s="19">
        <v>0</v>
      </c>
      <c r="R70" s="19">
        <v>0</v>
      </c>
      <c r="S70" s="10">
        <v>0</v>
      </c>
    </row>
    <row r="71" spans="1:20" ht="12.75" x14ac:dyDescent="0.25">
      <c r="A71" s="193" t="s">
        <v>195</v>
      </c>
      <c r="B71" s="24" t="s">
        <v>730</v>
      </c>
      <c r="C71" s="69">
        <v>416900</v>
      </c>
      <c r="D71" s="12">
        <v>21255.08</v>
      </c>
      <c r="E71" s="245">
        <f t="shared" si="29"/>
        <v>5.0983641160949875E-2</v>
      </c>
      <c r="F71" s="163">
        <f>SUM(Tabela11[[#This Row],[GOVERNANÇA
Direção e Liderança]:[GESTÃO
Infraestrutura
]])</f>
        <v>383250</v>
      </c>
      <c r="G71" s="224">
        <f t="shared" si="14"/>
        <v>1.2606907894736842E-3</v>
      </c>
      <c r="H71" s="233">
        <f>Tabela11[[#This Row],[Proposta Orçamentária 2023]]/Tabela11[[#This Row],[Dotação Atual
2022]]</f>
        <v>0.91928520028783878</v>
      </c>
      <c r="I71" s="19">
        <v>46265</v>
      </c>
      <c r="J71" s="19">
        <v>273970</v>
      </c>
      <c r="K71" s="19">
        <v>7000</v>
      </c>
      <c r="L71" s="121">
        <v>0</v>
      </c>
      <c r="M71" s="19">
        <v>0</v>
      </c>
      <c r="N71" s="19">
        <v>0</v>
      </c>
      <c r="O71" s="121">
        <v>52290</v>
      </c>
      <c r="P71" s="19">
        <v>3725</v>
      </c>
      <c r="Q71" s="19">
        <v>0</v>
      </c>
      <c r="R71" s="19">
        <v>0</v>
      </c>
      <c r="S71" s="10">
        <v>0</v>
      </c>
    </row>
    <row r="72" spans="1:20" s="5" customFormat="1" ht="12.75" x14ac:dyDescent="0.25">
      <c r="A72" s="192" t="s">
        <v>197</v>
      </c>
      <c r="B72" s="23" t="s">
        <v>816</v>
      </c>
      <c r="C72" s="68">
        <f>SUM(C73:C75)</f>
        <v>814105</v>
      </c>
      <c r="D72" s="11">
        <f>SUM(D73:D75)</f>
        <v>147820.71</v>
      </c>
      <c r="E72" s="243">
        <f t="shared" si="29"/>
        <v>0.18157450206054501</v>
      </c>
      <c r="F72" s="162">
        <f>SUM(Tabela11[[#This Row],[GOVERNANÇA
Direção e Liderança]:[GESTÃO
Infraestrutura
]])</f>
        <v>891000</v>
      </c>
      <c r="G72" s="223">
        <f t="shared" si="14"/>
        <v>2.9309210526315787E-3</v>
      </c>
      <c r="H72" s="231">
        <f>Tabela11[[#This Row],[Proposta Orçamentária 2023]]/Tabela11[[#This Row],[Dotação Atual
2022]]</f>
        <v>1.0944534181708747</v>
      </c>
      <c r="I72" s="20">
        <f t="shared" ref="I72:S72" si="30">SUM(I73:I75)</f>
        <v>264305</v>
      </c>
      <c r="J72" s="20">
        <f t="shared" ref="J72" si="31">SUM(J73:J75)</f>
        <v>315305</v>
      </c>
      <c r="K72" s="20">
        <f t="shared" si="30"/>
        <v>113125</v>
      </c>
      <c r="L72" s="119">
        <f t="shared" si="30"/>
        <v>16895</v>
      </c>
      <c r="M72" s="20">
        <f t="shared" si="30"/>
        <v>17255</v>
      </c>
      <c r="N72" s="20">
        <f t="shared" si="30"/>
        <v>5000</v>
      </c>
      <c r="O72" s="119">
        <f t="shared" si="30"/>
        <v>128715</v>
      </c>
      <c r="P72" s="20">
        <f t="shared" si="30"/>
        <v>18905</v>
      </c>
      <c r="Q72" s="20">
        <f t="shared" si="30"/>
        <v>10070</v>
      </c>
      <c r="R72" s="20">
        <f t="shared" si="30"/>
        <v>1425</v>
      </c>
      <c r="S72" s="7">
        <f t="shared" si="30"/>
        <v>0</v>
      </c>
      <c r="T72" s="7"/>
    </row>
    <row r="73" spans="1:20" ht="12.75" x14ac:dyDescent="0.25">
      <c r="A73" s="193" t="s">
        <v>198</v>
      </c>
      <c r="B73" s="24" t="s">
        <v>731</v>
      </c>
      <c r="C73" s="69">
        <v>165490</v>
      </c>
      <c r="D73" s="12">
        <v>32841.93</v>
      </c>
      <c r="E73" s="245">
        <f t="shared" si="29"/>
        <v>0.19845265574959212</v>
      </c>
      <c r="F73" s="163">
        <f>SUM(Tabela11[[#This Row],[GOVERNANÇA
Direção e Liderança]:[GESTÃO
Infraestrutura
]])</f>
        <v>199255</v>
      </c>
      <c r="G73" s="224">
        <f t="shared" si="14"/>
        <v>6.5544407894736843E-4</v>
      </c>
      <c r="H73" s="233">
        <f>Tabela11[[#This Row],[Proposta Orçamentária 2023]]/Tabela11[[#This Row],[Dotação Atual
2022]]</f>
        <v>1.2040304550123875</v>
      </c>
      <c r="I73" s="19">
        <v>19865</v>
      </c>
      <c r="J73" s="19">
        <v>38035</v>
      </c>
      <c r="K73" s="19">
        <v>78645</v>
      </c>
      <c r="L73" s="121">
        <v>15470</v>
      </c>
      <c r="M73" s="19">
        <v>9275</v>
      </c>
      <c r="N73" s="19">
        <v>5000</v>
      </c>
      <c r="O73" s="121">
        <v>6840</v>
      </c>
      <c r="P73" s="19">
        <v>14630</v>
      </c>
      <c r="Q73" s="19">
        <v>10070</v>
      </c>
      <c r="R73" s="19">
        <v>1425</v>
      </c>
      <c r="S73" s="10">
        <v>0</v>
      </c>
    </row>
    <row r="74" spans="1:20" ht="12.75" x14ac:dyDescent="0.25">
      <c r="A74" s="193" t="s">
        <v>199</v>
      </c>
      <c r="B74" s="24" t="s">
        <v>732</v>
      </c>
      <c r="C74" s="69">
        <v>478275</v>
      </c>
      <c r="D74" s="12">
        <v>95313.78</v>
      </c>
      <c r="E74" s="245">
        <f t="shared" si="29"/>
        <v>0.19928656107887721</v>
      </c>
      <c r="F74" s="163">
        <f>SUM(Tabela11[[#This Row],[GOVERNANÇA
Direção e Liderança]:[GESTÃO
Infraestrutura
]])</f>
        <v>549780</v>
      </c>
      <c r="G74" s="224">
        <f t="shared" ref="G74:G105" si="32">+F74/$F$10</f>
        <v>1.8084868421052631E-3</v>
      </c>
      <c r="H74" s="233">
        <f>Tabela11[[#This Row],[Proposta Orçamentária 2023]]/Tabela11[[#This Row],[Dotação Atual
2022]]</f>
        <v>1.1495060373216246</v>
      </c>
      <c r="I74" s="19">
        <v>213660</v>
      </c>
      <c r="J74" s="19">
        <v>206080</v>
      </c>
      <c r="K74" s="19">
        <v>24410</v>
      </c>
      <c r="L74" s="121">
        <v>1425</v>
      </c>
      <c r="M74" s="19">
        <v>7980</v>
      </c>
      <c r="N74" s="19">
        <v>0</v>
      </c>
      <c r="O74" s="121">
        <v>93945</v>
      </c>
      <c r="P74" s="19">
        <v>2280</v>
      </c>
      <c r="Q74" s="19">
        <v>0</v>
      </c>
      <c r="R74" s="19">
        <v>0</v>
      </c>
      <c r="S74" s="10">
        <v>0</v>
      </c>
    </row>
    <row r="75" spans="1:20" ht="12.75" x14ac:dyDescent="0.25">
      <c r="A75" s="193" t="s">
        <v>200</v>
      </c>
      <c r="B75" s="24" t="s">
        <v>733</v>
      </c>
      <c r="C75" s="69">
        <v>170340</v>
      </c>
      <c r="D75" s="12">
        <v>19665</v>
      </c>
      <c r="E75" s="245">
        <f t="shared" si="29"/>
        <v>0.11544557942937654</v>
      </c>
      <c r="F75" s="163">
        <f>SUM(Tabela11[[#This Row],[GOVERNANÇA
Direção e Liderança]:[GESTÃO
Infraestrutura
]])</f>
        <v>141965</v>
      </c>
      <c r="G75" s="224">
        <f t="shared" si="32"/>
        <v>4.6699013157894736E-4</v>
      </c>
      <c r="H75" s="233">
        <f>Tabela11[[#This Row],[Proposta Orçamentária 2023]]/Tabela11[[#This Row],[Dotação Atual
2022]]</f>
        <v>0.83342139250909941</v>
      </c>
      <c r="I75" s="19">
        <v>30780</v>
      </c>
      <c r="J75" s="19">
        <v>71190</v>
      </c>
      <c r="K75" s="19">
        <v>10070</v>
      </c>
      <c r="L75" s="121">
        <v>0</v>
      </c>
      <c r="M75" s="19">
        <v>0</v>
      </c>
      <c r="N75" s="19">
        <v>0</v>
      </c>
      <c r="O75" s="121">
        <v>27930</v>
      </c>
      <c r="P75" s="19">
        <v>1995</v>
      </c>
      <c r="Q75" s="19">
        <v>0</v>
      </c>
      <c r="R75" s="19">
        <v>0</v>
      </c>
      <c r="S75" s="10">
        <v>0</v>
      </c>
    </row>
    <row r="76" spans="1:20" s="5" customFormat="1" ht="12.75" x14ac:dyDescent="0.25">
      <c r="A76" s="192" t="s">
        <v>201</v>
      </c>
      <c r="B76" s="23" t="s">
        <v>365</v>
      </c>
      <c r="C76" s="68">
        <f>SUM(C77:C115)</f>
        <v>90056465</v>
      </c>
      <c r="D76" s="11">
        <f>SUM(D77:D115)</f>
        <v>18419197.089999996</v>
      </c>
      <c r="E76" s="243">
        <f t="shared" si="29"/>
        <v>0.20452942595514931</v>
      </c>
      <c r="F76" s="162">
        <f>SUM(Tabela11[[#This Row],[GOVERNANÇA
Direção e Liderança]:[GESTÃO
Infraestrutura
]])</f>
        <v>124659000</v>
      </c>
      <c r="G76" s="223">
        <f t="shared" si="32"/>
        <v>0.4100625</v>
      </c>
      <c r="H76" s="231">
        <f>Tabela11[[#This Row],[Proposta Orçamentária 2023]]/Tabela11[[#This Row],[Dotação Atual
2022]]</f>
        <v>1.3842315485068173</v>
      </c>
      <c r="I76" s="20">
        <f t="shared" ref="I76:S76" si="33">SUM(I77:I115)</f>
        <v>8776000</v>
      </c>
      <c r="J76" s="20">
        <f t="shared" ref="J76" si="34">SUM(J77:J115)</f>
        <v>6952350</v>
      </c>
      <c r="K76" s="20">
        <f t="shared" si="33"/>
        <v>6789350</v>
      </c>
      <c r="L76" s="119">
        <f t="shared" si="33"/>
        <v>1912850</v>
      </c>
      <c r="M76" s="20">
        <f t="shared" si="33"/>
        <v>338000</v>
      </c>
      <c r="N76" s="20">
        <f t="shared" si="33"/>
        <v>96000</v>
      </c>
      <c r="O76" s="119">
        <f t="shared" si="33"/>
        <v>2655500</v>
      </c>
      <c r="P76" s="20">
        <f t="shared" si="33"/>
        <v>53939350</v>
      </c>
      <c r="Q76" s="20">
        <f t="shared" si="33"/>
        <v>2085250</v>
      </c>
      <c r="R76" s="20">
        <f t="shared" si="33"/>
        <v>27860000</v>
      </c>
      <c r="S76" s="7">
        <f t="shared" si="33"/>
        <v>13254350</v>
      </c>
      <c r="T76" s="7"/>
    </row>
    <row r="77" spans="1:20" ht="12.75" x14ac:dyDescent="0.25">
      <c r="A77" s="193" t="s">
        <v>202</v>
      </c>
      <c r="B77" s="24" t="s">
        <v>715</v>
      </c>
      <c r="C77" s="69">
        <v>763000</v>
      </c>
      <c r="D77" s="12">
        <v>8800</v>
      </c>
      <c r="E77" s="244">
        <f t="shared" si="29"/>
        <v>1.1533420707732634E-2</v>
      </c>
      <c r="F77" s="163">
        <f>SUM(Tabela11[[#This Row],[GOVERNANÇA
Direção e Liderança]:[GESTÃO
Infraestrutura
]])</f>
        <v>2750000</v>
      </c>
      <c r="G77" s="224">
        <f t="shared" si="32"/>
        <v>9.0460526315789477E-3</v>
      </c>
      <c r="H77" s="232">
        <f>Tabela11[[#This Row],[Proposta Orçamentária 2023]]/Tabela11[[#This Row],[Dotação Atual
2022]]</f>
        <v>3.6041939711664481</v>
      </c>
      <c r="I77" s="19">
        <v>450000</v>
      </c>
      <c r="J77" s="19">
        <v>0</v>
      </c>
      <c r="K77" s="19">
        <v>0</v>
      </c>
      <c r="L77" s="121">
        <v>1500000</v>
      </c>
      <c r="M77" s="19">
        <v>0</v>
      </c>
      <c r="N77" s="19">
        <v>0</v>
      </c>
      <c r="O77" s="121">
        <v>0</v>
      </c>
      <c r="P77" s="19">
        <v>0</v>
      </c>
      <c r="Q77" s="19">
        <v>0</v>
      </c>
      <c r="R77" s="19">
        <v>800000</v>
      </c>
      <c r="S77" s="10">
        <v>0</v>
      </c>
    </row>
    <row r="78" spans="1:20" ht="12.75" x14ac:dyDescent="0.25">
      <c r="A78" s="193" t="s">
        <v>203</v>
      </c>
      <c r="B78" s="24" t="s">
        <v>716</v>
      </c>
      <c r="C78" s="69">
        <v>7065500</v>
      </c>
      <c r="D78" s="12">
        <v>0</v>
      </c>
      <c r="E78" s="244">
        <f t="shared" si="29"/>
        <v>0</v>
      </c>
      <c r="F78" s="163">
        <f>SUM(Tabela11[[#This Row],[GOVERNANÇA
Direção e Liderança]:[GESTÃO
Infraestrutura
]])</f>
        <v>6322000</v>
      </c>
      <c r="G78" s="224">
        <f t="shared" si="32"/>
        <v>2.0796052631578948E-2</v>
      </c>
      <c r="H78" s="232">
        <f>Tabela11[[#This Row],[Proposta Orçamentária 2023]]/Tabela11[[#This Row],[Dotação Atual
2022]]</f>
        <v>0.8947703630316326</v>
      </c>
      <c r="I78" s="19">
        <v>5000</v>
      </c>
      <c r="J78" s="19">
        <v>0</v>
      </c>
      <c r="K78" s="19">
        <v>4205000</v>
      </c>
      <c r="L78" s="121">
        <v>0</v>
      </c>
      <c r="M78" s="19">
        <v>0</v>
      </c>
      <c r="N78" s="19">
        <v>0</v>
      </c>
      <c r="O78" s="121">
        <v>0</v>
      </c>
      <c r="P78" s="19">
        <v>0</v>
      </c>
      <c r="Q78" s="19">
        <v>450000</v>
      </c>
      <c r="R78" s="19">
        <v>1662000</v>
      </c>
      <c r="S78" s="10">
        <v>0</v>
      </c>
    </row>
    <row r="79" spans="1:20" ht="12.75" x14ac:dyDescent="0.25">
      <c r="A79" s="193" t="s">
        <v>204</v>
      </c>
      <c r="B79" s="24" t="s">
        <v>734</v>
      </c>
      <c r="C79" s="69">
        <v>171000</v>
      </c>
      <c r="D79" s="12">
        <v>0</v>
      </c>
      <c r="E79" s="244">
        <f t="shared" si="29"/>
        <v>0</v>
      </c>
      <c r="F79" s="163">
        <f>SUM(Tabela11[[#This Row],[GOVERNANÇA
Direção e Liderança]:[GESTÃO
Infraestrutura
]])</f>
        <v>275000</v>
      </c>
      <c r="G79" s="224">
        <f t="shared" si="32"/>
        <v>9.0460526315789473E-4</v>
      </c>
      <c r="H79" s="232">
        <f>Tabela11[[#This Row],[Proposta Orçamentária 2023]]/Tabela11[[#This Row],[Dotação Atual
2022]]</f>
        <v>1.6081871345029239</v>
      </c>
      <c r="I79" s="19">
        <v>35000</v>
      </c>
      <c r="J79" s="19">
        <v>0</v>
      </c>
      <c r="K79" s="19">
        <v>240000</v>
      </c>
      <c r="L79" s="121">
        <v>0</v>
      </c>
      <c r="M79" s="19">
        <v>0</v>
      </c>
      <c r="N79" s="19">
        <v>0</v>
      </c>
      <c r="O79" s="121">
        <v>0</v>
      </c>
      <c r="P79" s="19">
        <v>0</v>
      </c>
      <c r="Q79" s="19">
        <v>0</v>
      </c>
      <c r="R79" s="19">
        <v>0</v>
      </c>
      <c r="S79" s="10">
        <v>0</v>
      </c>
    </row>
    <row r="80" spans="1:20" ht="12.75" x14ac:dyDescent="0.25">
      <c r="A80" s="193" t="s">
        <v>205</v>
      </c>
      <c r="B80" s="24" t="s">
        <v>735</v>
      </c>
      <c r="C80" s="69">
        <v>13431000</v>
      </c>
      <c r="D80" s="12">
        <v>2306322.77</v>
      </c>
      <c r="E80" s="244">
        <f t="shared" si="29"/>
        <v>0.1717163852282034</v>
      </c>
      <c r="F80" s="163">
        <f>SUM(Tabela11[[#This Row],[GOVERNANÇA
Direção e Liderança]:[GESTÃO
Infraestrutura
]])</f>
        <v>28005000</v>
      </c>
      <c r="G80" s="224">
        <f t="shared" si="32"/>
        <v>9.2121710526315792E-2</v>
      </c>
      <c r="H80" s="232">
        <f>Tabela11[[#This Row],[Proposta Orçamentária 2023]]/Tabela11[[#This Row],[Dotação Atual
2022]]</f>
        <v>2.085101630556176</v>
      </c>
      <c r="I80" s="19">
        <v>3000000</v>
      </c>
      <c r="J80" s="19">
        <v>0</v>
      </c>
      <c r="K80" s="19">
        <v>0</v>
      </c>
      <c r="L80" s="121">
        <v>0</v>
      </c>
      <c r="M80" s="19">
        <v>0</v>
      </c>
      <c r="N80" s="19">
        <v>0</v>
      </c>
      <c r="O80" s="121">
        <v>0</v>
      </c>
      <c r="P80" s="19">
        <v>0</v>
      </c>
      <c r="Q80" s="19">
        <v>0</v>
      </c>
      <c r="R80" s="19">
        <v>25005000</v>
      </c>
      <c r="S80" s="10">
        <v>0</v>
      </c>
    </row>
    <row r="81" spans="1:19" ht="12.75" x14ac:dyDescent="0.25">
      <c r="A81" s="193" t="s">
        <v>206</v>
      </c>
      <c r="B81" s="24" t="s">
        <v>718</v>
      </c>
      <c r="C81" s="69">
        <v>335000</v>
      </c>
      <c r="D81" s="12">
        <v>126080</v>
      </c>
      <c r="E81" s="244">
        <f t="shared" si="29"/>
        <v>0.37635820895522387</v>
      </c>
      <c r="F81" s="163">
        <f>SUM(Tabela11[[#This Row],[GOVERNANÇA
Direção e Liderança]:[GESTÃO
Infraestrutura
]])</f>
        <v>375000</v>
      </c>
      <c r="G81" s="224">
        <f t="shared" si="32"/>
        <v>1.2335526315789473E-3</v>
      </c>
      <c r="H81" s="232">
        <f>Tabela11[[#This Row],[Proposta Orçamentária 2023]]/Tabela11[[#This Row],[Dotação Atual
2022]]</f>
        <v>1.1194029850746268</v>
      </c>
      <c r="I81" s="19">
        <v>0</v>
      </c>
      <c r="J81" s="19">
        <v>0</v>
      </c>
      <c r="K81" s="19">
        <v>0</v>
      </c>
      <c r="L81" s="121">
        <v>0</v>
      </c>
      <c r="M81" s="19">
        <v>0</v>
      </c>
      <c r="N81" s="19">
        <v>0</v>
      </c>
      <c r="O81" s="121">
        <v>0</v>
      </c>
      <c r="P81" s="19">
        <v>0</v>
      </c>
      <c r="Q81" s="19">
        <v>0</v>
      </c>
      <c r="R81" s="19">
        <v>0</v>
      </c>
      <c r="S81" s="10">
        <v>375000</v>
      </c>
    </row>
    <row r="82" spans="1:19" ht="12.75" x14ac:dyDescent="0.25">
      <c r="A82" s="193" t="s">
        <v>207</v>
      </c>
      <c r="B82" s="24" t="s">
        <v>719</v>
      </c>
      <c r="C82" s="69">
        <v>2134500</v>
      </c>
      <c r="D82" s="12">
        <v>699957.78</v>
      </c>
      <c r="E82" s="244">
        <f t="shared" si="29"/>
        <v>0.32792587491215741</v>
      </c>
      <c r="F82" s="163">
        <f>SUM(Tabela11[[#This Row],[GOVERNANÇA
Direção e Liderança]:[GESTÃO
Infraestrutura
]])</f>
        <v>2705000</v>
      </c>
      <c r="G82" s="224">
        <f t="shared" si="32"/>
        <v>8.8980263157894743E-3</v>
      </c>
      <c r="H82" s="232">
        <f>Tabela11[[#This Row],[Proposta Orçamentária 2023]]/Tabela11[[#This Row],[Dotação Atual
2022]]</f>
        <v>1.2672757085968611</v>
      </c>
      <c r="I82" s="19">
        <v>0</v>
      </c>
      <c r="J82" s="19">
        <v>0</v>
      </c>
      <c r="K82" s="19">
        <v>0</v>
      </c>
      <c r="L82" s="121">
        <v>0</v>
      </c>
      <c r="M82" s="19">
        <v>0</v>
      </c>
      <c r="N82" s="19">
        <v>0</v>
      </c>
      <c r="O82" s="121">
        <v>0</v>
      </c>
      <c r="P82" s="19">
        <v>0</v>
      </c>
      <c r="Q82" s="19">
        <v>0</v>
      </c>
      <c r="R82" s="19">
        <v>0</v>
      </c>
      <c r="S82" s="10">
        <v>2705000</v>
      </c>
    </row>
    <row r="83" spans="1:19" ht="12.75" x14ac:dyDescent="0.25">
      <c r="A83" s="193" t="s">
        <v>208</v>
      </c>
      <c r="B83" s="24" t="s">
        <v>720</v>
      </c>
      <c r="C83" s="69">
        <v>1485000</v>
      </c>
      <c r="D83" s="12">
        <v>560688.24</v>
      </c>
      <c r="E83" s="244">
        <f t="shared" si="29"/>
        <v>0.37756783838383839</v>
      </c>
      <c r="F83" s="163">
        <f>SUM(Tabela11[[#This Row],[GOVERNANÇA
Direção e Liderança]:[GESTÃO
Infraestrutura
]])</f>
        <v>1250000</v>
      </c>
      <c r="G83" s="224">
        <f t="shared" si="32"/>
        <v>4.1118421052631577E-3</v>
      </c>
      <c r="H83" s="232">
        <f>Tabela11[[#This Row],[Proposta Orçamentária 2023]]/Tabela11[[#This Row],[Dotação Atual
2022]]</f>
        <v>0.84175084175084181</v>
      </c>
      <c r="I83" s="19">
        <v>0</v>
      </c>
      <c r="J83" s="19">
        <v>0</v>
      </c>
      <c r="K83" s="19">
        <v>0</v>
      </c>
      <c r="L83" s="121">
        <v>0</v>
      </c>
      <c r="M83" s="19">
        <v>0</v>
      </c>
      <c r="N83" s="19">
        <v>0</v>
      </c>
      <c r="O83" s="121">
        <v>0</v>
      </c>
      <c r="P83" s="19">
        <v>0</v>
      </c>
      <c r="Q83" s="19">
        <v>0</v>
      </c>
      <c r="R83" s="19">
        <v>0</v>
      </c>
      <c r="S83" s="10">
        <v>1250000</v>
      </c>
    </row>
    <row r="84" spans="1:19" ht="12.75" x14ac:dyDescent="0.25">
      <c r="A84" s="193" t="s">
        <v>209</v>
      </c>
      <c r="B84" s="24" t="s">
        <v>736</v>
      </c>
      <c r="C84" s="69">
        <v>85000</v>
      </c>
      <c r="D84" s="12">
        <v>12170.82</v>
      </c>
      <c r="E84" s="244">
        <f t="shared" si="29"/>
        <v>0.14318611764705882</v>
      </c>
      <c r="F84" s="163">
        <f>SUM(Tabela11[[#This Row],[GOVERNANÇA
Direção e Liderança]:[GESTÃO
Infraestrutura
]])</f>
        <v>25000</v>
      </c>
      <c r="G84" s="224">
        <f t="shared" si="32"/>
        <v>8.2236842105263156E-5</v>
      </c>
      <c r="H84" s="232">
        <f>Tabela11[[#This Row],[Proposta Orçamentária 2023]]/Tabela11[[#This Row],[Dotação Atual
2022]]</f>
        <v>0.29411764705882354</v>
      </c>
      <c r="I84" s="19">
        <v>0</v>
      </c>
      <c r="J84" s="19">
        <v>0</v>
      </c>
      <c r="K84" s="19">
        <v>0</v>
      </c>
      <c r="L84" s="121">
        <v>0</v>
      </c>
      <c r="M84" s="19">
        <v>0</v>
      </c>
      <c r="N84" s="19">
        <v>0</v>
      </c>
      <c r="O84" s="121">
        <v>0</v>
      </c>
      <c r="P84" s="19">
        <v>0</v>
      </c>
      <c r="Q84" s="19">
        <v>25000</v>
      </c>
      <c r="R84" s="19">
        <v>0</v>
      </c>
      <c r="S84" s="10">
        <v>0</v>
      </c>
    </row>
    <row r="85" spans="1:19" ht="12.75" x14ac:dyDescent="0.25">
      <c r="A85" s="193" t="s">
        <v>210</v>
      </c>
      <c r="B85" s="24" t="s">
        <v>737</v>
      </c>
      <c r="C85" s="69">
        <v>323700</v>
      </c>
      <c r="D85" s="12">
        <v>16000</v>
      </c>
      <c r="E85" s="244">
        <f t="shared" si="29"/>
        <v>4.9428483163422923E-2</v>
      </c>
      <c r="F85" s="163">
        <f>SUM(Tabela11[[#This Row],[GOVERNANÇA
Direção e Liderança]:[GESTÃO
Infraestrutura
]])</f>
        <v>330000</v>
      </c>
      <c r="G85" s="224">
        <f t="shared" si="32"/>
        <v>1.0855263157894736E-3</v>
      </c>
      <c r="H85" s="232">
        <f>Tabela11[[#This Row],[Proposta Orçamentária 2023]]/Tabela11[[#This Row],[Dotação Atual
2022]]</f>
        <v>1.0194624652455977</v>
      </c>
      <c r="I85" s="19">
        <v>0</v>
      </c>
      <c r="J85" s="19">
        <v>0</v>
      </c>
      <c r="K85" s="19">
        <v>0</v>
      </c>
      <c r="L85" s="121">
        <v>0</v>
      </c>
      <c r="M85" s="19">
        <v>0</v>
      </c>
      <c r="N85" s="19">
        <v>0</v>
      </c>
      <c r="O85" s="121">
        <v>0</v>
      </c>
      <c r="P85" s="19">
        <v>0</v>
      </c>
      <c r="Q85" s="19">
        <v>330000</v>
      </c>
      <c r="R85" s="19">
        <v>0</v>
      </c>
      <c r="S85" s="10">
        <v>0</v>
      </c>
    </row>
    <row r="86" spans="1:19" ht="12.75" x14ac:dyDescent="0.25">
      <c r="A86" s="193" t="s">
        <v>211</v>
      </c>
      <c r="B86" s="24" t="s">
        <v>738</v>
      </c>
      <c r="C86" s="69">
        <v>12000</v>
      </c>
      <c r="D86" s="12">
        <v>2513.64</v>
      </c>
      <c r="E86" s="244">
        <f t="shared" si="29"/>
        <v>0.20946999999999999</v>
      </c>
      <c r="F86" s="163">
        <f>SUM(Tabela11[[#This Row],[GOVERNANÇA
Direção e Liderança]:[GESTÃO
Infraestrutura
]])</f>
        <v>13300</v>
      </c>
      <c r="G86" s="224">
        <f t="shared" si="32"/>
        <v>4.375E-5</v>
      </c>
      <c r="H86" s="232">
        <f>Tabela11[[#This Row],[Proposta Orçamentária 2023]]/Tabela11[[#This Row],[Dotação Atual
2022]]</f>
        <v>1.1083333333333334</v>
      </c>
      <c r="I86" s="19">
        <v>0</v>
      </c>
      <c r="J86" s="19">
        <v>0</v>
      </c>
      <c r="K86" s="19">
        <v>0</v>
      </c>
      <c r="L86" s="121">
        <v>0</v>
      </c>
      <c r="M86" s="19">
        <v>0</v>
      </c>
      <c r="N86" s="19">
        <v>0</v>
      </c>
      <c r="O86" s="121">
        <v>0</v>
      </c>
      <c r="P86" s="19">
        <v>0</v>
      </c>
      <c r="Q86" s="19">
        <v>13300</v>
      </c>
      <c r="R86" s="19">
        <v>0</v>
      </c>
      <c r="S86" s="10">
        <v>0</v>
      </c>
    </row>
    <row r="87" spans="1:19" ht="12.75" x14ac:dyDescent="0.25">
      <c r="A87" s="193" t="s">
        <v>212</v>
      </c>
      <c r="B87" s="24" t="s">
        <v>739</v>
      </c>
      <c r="C87" s="69">
        <v>494000</v>
      </c>
      <c r="D87" s="12">
        <v>205604.31</v>
      </c>
      <c r="E87" s="244">
        <f t="shared" si="29"/>
        <v>0.41620305668016194</v>
      </c>
      <c r="F87" s="163">
        <f>SUM(Tabela11[[#This Row],[GOVERNANÇA
Direção e Liderança]:[GESTÃO
Infraestrutura
]])</f>
        <v>632500</v>
      </c>
      <c r="G87" s="224">
        <f t="shared" si="32"/>
        <v>2.080592105263158E-3</v>
      </c>
      <c r="H87" s="232">
        <f>Tabela11[[#This Row],[Proposta Orçamentária 2023]]/Tabela11[[#This Row],[Dotação Atual
2022]]</f>
        <v>1.2803643724696356</v>
      </c>
      <c r="I87" s="19">
        <v>0</v>
      </c>
      <c r="J87" s="19">
        <v>68350</v>
      </c>
      <c r="K87" s="19">
        <v>68350</v>
      </c>
      <c r="L87" s="121">
        <v>68350</v>
      </c>
      <c r="M87" s="19">
        <v>0</v>
      </c>
      <c r="N87" s="19">
        <v>0</v>
      </c>
      <c r="O87" s="121">
        <v>85500</v>
      </c>
      <c r="P87" s="19">
        <v>51350</v>
      </c>
      <c r="Q87" s="19">
        <v>136750</v>
      </c>
      <c r="R87" s="19">
        <v>85500</v>
      </c>
      <c r="S87" s="10">
        <v>68350</v>
      </c>
    </row>
    <row r="88" spans="1:19" ht="12.75" x14ac:dyDescent="0.25">
      <c r="A88" s="193" t="s">
        <v>213</v>
      </c>
      <c r="B88" s="24" t="s">
        <v>740</v>
      </c>
      <c r="C88" s="69">
        <v>135000</v>
      </c>
      <c r="D88" s="12">
        <v>27932.04</v>
      </c>
      <c r="E88" s="244">
        <f t="shared" si="29"/>
        <v>0.206904</v>
      </c>
      <c r="F88" s="163">
        <f>SUM(Tabela11[[#This Row],[GOVERNANÇA
Direção e Liderança]:[GESTÃO
Infraestrutura
]])</f>
        <v>249700</v>
      </c>
      <c r="G88" s="224">
        <f t="shared" si="32"/>
        <v>8.2138157894736839E-4</v>
      </c>
      <c r="H88" s="232">
        <f>Tabela11[[#This Row],[Proposta Orçamentária 2023]]/Tabela11[[#This Row],[Dotação Atual
2022]]</f>
        <v>1.8496296296296297</v>
      </c>
      <c r="I88" s="19">
        <v>0</v>
      </c>
      <c r="J88" s="19">
        <v>0</v>
      </c>
      <c r="K88" s="19">
        <v>0</v>
      </c>
      <c r="L88" s="121">
        <v>0</v>
      </c>
      <c r="M88" s="19">
        <v>0</v>
      </c>
      <c r="N88" s="19">
        <v>0</v>
      </c>
      <c r="O88" s="121">
        <v>0</v>
      </c>
      <c r="P88" s="19">
        <v>0</v>
      </c>
      <c r="Q88" s="19">
        <v>249700</v>
      </c>
      <c r="R88" s="19">
        <v>0</v>
      </c>
      <c r="S88" s="10">
        <v>0</v>
      </c>
    </row>
    <row r="89" spans="1:19" ht="12.75" x14ac:dyDescent="0.25">
      <c r="A89" s="193" t="s">
        <v>214</v>
      </c>
      <c r="B89" s="24" t="s">
        <v>721</v>
      </c>
      <c r="C89" s="69">
        <v>23167000</v>
      </c>
      <c r="D89" s="12">
        <v>6103066.8300000001</v>
      </c>
      <c r="E89" s="244">
        <f t="shared" si="29"/>
        <v>0.26343794319506192</v>
      </c>
      <c r="F89" s="163">
        <f>SUM(Tabela11[[#This Row],[GOVERNANÇA
Direção e Liderança]:[GESTÃO
Infraestrutura
]])</f>
        <v>33217500</v>
      </c>
      <c r="G89" s="224">
        <f t="shared" si="32"/>
        <v>0.10926809210526316</v>
      </c>
      <c r="H89" s="232">
        <f>Tabela11[[#This Row],[Proposta Orçamentária 2023]]/Tabela11[[#This Row],[Dotação Atual
2022]]</f>
        <v>1.4338282902404282</v>
      </c>
      <c r="I89" s="19">
        <v>0</v>
      </c>
      <c r="J89" s="19">
        <v>0</v>
      </c>
      <c r="K89" s="19">
        <v>0</v>
      </c>
      <c r="L89" s="121">
        <v>0</v>
      </c>
      <c r="M89" s="19">
        <v>0</v>
      </c>
      <c r="N89" s="19">
        <v>0</v>
      </c>
      <c r="O89" s="121">
        <v>0</v>
      </c>
      <c r="P89" s="19">
        <v>33000000</v>
      </c>
      <c r="Q89" s="19">
        <v>217500</v>
      </c>
      <c r="R89" s="19">
        <v>0</v>
      </c>
      <c r="S89" s="10">
        <v>0</v>
      </c>
    </row>
    <row r="90" spans="1:19" ht="12.75" x14ac:dyDescent="0.25">
      <c r="A90" s="193" t="s">
        <v>215</v>
      </c>
      <c r="B90" s="24" t="s">
        <v>722</v>
      </c>
      <c r="C90" s="69">
        <v>119000</v>
      </c>
      <c r="D90" s="12">
        <v>1200</v>
      </c>
      <c r="E90" s="244">
        <f t="shared" si="29"/>
        <v>1.0084033613445379E-2</v>
      </c>
      <c r="F90" s="163">
        <f>SUM(Tabela11[[#This Row],[GOVERNANÇA
Direção e Liderança]:[GESTÃO
Infraestrutura
]])</f>
        <v>17500</v>
      </c>
      <c r="G90" s="224">
        <f t="shared" si="32"/>
        <v>5.7565789473684209E-5</v>
      </c>
      <c r="H90" s="232">
        <f>Tabela11[[#This Row],[Proposta Orçamentária 2023]]/Tabela11[[#This Row],[Dotação Atual
2022]]</f>
        <v>0.14705882352941177</v>
      </c>
      <c r="I90" s="19">
        <v>0</v>
      </c>
      <c r="J90" s="19">
        <v>0</v>
      </c>
      <c r="K90" s="19">
        <v>0</v>
      </c>
      <c r="L90" s="121">
        <v>6500</v>
      </c>
      <c r="M90" s="19">
        <v>0</v>
      </c>
      <c r="N90" s="19">
        <v>0</v>
      </c>
      <c r="O90" s="121">
        <v>0</v>
      </c>
      <c r="P90" s="19">
        <v>0</v>
      </c>
      <c r="Q90" s="19">
        <v>11000</v>
      </c>
      <c r="R90" s="19">
        <v>0</v>
      </c>
      <c r="S90" s="10">
        <v>0</v>
      </c>
    </row>
    <row r="91" spans="1:19" ht="12.75" x14ac:dyDescent="0.25">
      <c r="A91" s="193" t="s">
        <v>216</v>
      </c>
      <c r="B91" s="24" t="s">
        <v>723</v>
      </c>
      <c r="C91" s="69">
        <v>3000</v>
      </c>
      <c r="D91" s="12">
        <v>821.72</v>
      </c>
      <c r="E91" s="244">
        <f t="shared" si="29"/>
        <v>0.27390666666666669</v>
      </c>
      <c r="F91" s="163">
        <f>SUM(Tabela11[[#This Row],[GOVERNANÇA
Direção e Liderança]:[GESTÃO
Infraestrutura
]])</f>
        <v>0</v>
      </c>
      <c r="G91" s="224">
        <f t="shared" si="32"/>
        <v>0</v>
      </c>
      <c r="H91" s="232">
        <f>Tabela11[[#This Row],[Proposta Orçamentária 2023]]/Tabela11[[#This Row],[Dotação Atual
2022]]</f>
        <v>0</v>
      </c>
      <c r="I91" s="19">
        <v>0</v>
      </c>
      <c r="J91" s="19">
        <v>0</v>
      </c>
      <c r="K91" s="19">
        <v>0</v>
      </c>
      <c r="L91" s="121">
        <v>0</v>
      </c>
      <c r="M91" s="19">
        <v>0</v>
      </c>
      <c r="N91" s="19">
        <v>0</v>
      </c>
      <c r="O91" s="121">
        <v>0</v>
      </c>
      <c r="P91" s="19">
        <v>0</v>
      </c>
      <c r="Q91" s="19">
        <v>0</v>
      </c>
      <c r="R91" s="19">
        <v>0</v>
      </c>
      <c r="S91" s="10">
        <v>0</v>
      </c>
    </row>
    <row r="92" spans="1:19" ht="12.75" x14ac:dyDescent="0.25">
      <c r="A92" s="193" t="s">
        <v>217</v>
      </c>
      <c r="B92" s="24" t="s">
        <v>741</v>
      </c>
      <c r="C92" s="69">
        <v>6000</v>
      </c>
      <c r="D92" s="12">
        <v>5338.19</v>
      </c>
      <c r="E92" s="244">
        <f t="shared" si="29"/>
        <v>0.88969833333333326</v>
      </c>
      <c r="F92" s="163">
        <f>SUM(Tabela11[[#This Row],[GOVERNANÇA
Direção e Liderança]:[GESTÃO
Infraestrutura
]])</f>
        <v>6000</v>
      </c>
      <c r="G92" s="224">
        <f t="shared" si="32"/>
        <v>1.9736842105263158E-5</v>
      </c>
      <c r="H92" s="232">
        <f>Tabela11[[#This Row],[Proposta Orçamentária 2023]]/Tabela11[[#This Row],[Dotação Atual
2022]]</f>
        <v>1</v>
      </c>
      <c r="I92" s="19">
        <v>0</v>
      </c>
      <c r="J92" s="19">
        <v>0</v>
      </c>
      <c r="K92" s="19">
        <v>0</v>
      </c>
      <c r="L92" s="121">
        <v>0</v>
      </c>
      <c r="M92" s="19">
        <v>0</v>
      </c>
      <c r="N92" s="19">
        <v>0</v>
      </c>
      <c r="O92" s="121">
        <v>0</v>
      </c>
      <c r="P92" s="19">
        <v>0</v>
      </c>
      <c r="Q92" s="19">
        <v>0</v>
      </c>
      <c r="R92" s="19">
        <v>0</v>
      </c>
      <c r="S92" s="10">
        <v>6000</v>
      </c>
    </row>
    <row r="93" spans="1:19" ht="12.75" x14ac:dyDescent="0.25">
      <c r="A93" s="193" t="s">
        <v>218</v>
      </c>
      <c r="B93" s="24" t="s">
        <v>742</v>
      </c>
      <c r="C93" s="69">
        <v>12000</v>
      </c>
      <c r="D93" s="12">
        <v>0</v>
      </c>
      <c r="E93" s="244">
        <f t="shared" si="29"/>
        <v>0</v>
      </c>
      <c r="F93" s="163">
        <f>SUM(Tabela11[[#This Row],[GOVERNANÇA
Direção e Liderança]:[GESTÃO
Infraestrutura
]])</f>
        <v>20000</v>
      </c>
      <c r="G93" s="224">
        <f t="shared" si="32"/>
        <v>6.5789473684210525E-5</v>
      </c>
      <c r="H93" s="232">
        <f>Tabela11[[#This Row],[Proposta Orçamentária 2023]]/Tabela11[[#This Row],[Dotação Atual
2022]]</f>
        <v>1.6666666666666667</v>
      </c>
      <c r="I93" s="19">
        <v>0</v>
      </c>
      <c r="J93" s="19">
        <v>0</v>
      </c>
      <c r="K93" s="19">
        <v>0</v>
      </c>
      <c r="L93" s="121">
        <v>0</v>
      </c>
      <c r="M93" s="19">
        <v>0</v>
      </c>
      <c r="N93" s="19">
        <v>0</v>
      </c>
      <c r="O93" s="121">
        <v>0</v>
      </c>
      <c r="P93" s="19">
        <v>0</v>
      </c>
      <c r="Q93" s="19">
        <v>0</v>
      </c>
      <c r="R93" s="19">
        <v>0</v>
      </c>
      <c r="S93" s="10">
        <v>20000</v>
      </c>
    </row>
    <row r="94" spans="1:19" ht="12.75" x14ac:dyDescent="0.25">
      <c r="A94" s="193" t="s">
        <v>219</v>
      </c>
      <c r="B94" s="24" t="s">
        <v>743</v>
      </c>
      <c r="C94" s="69">
        <v>45000</v>
      </c>
      <c r="D94" s="12">
        <v>17627</v>
      </c>
      <c r="E94" s="244">
        <f t="shared" si="29"/>
        <v>0.39171111111111112</v>
      </c>
      <c r="F94" s="163">
        <f>SUM(Tabela11[[#This Row],[GOVERNANÇA
Direção e Liderança]:[GESTÃO
Infraestrutura
]])</f>
        <v>30000</v>
      </c>
      <c r="G94" s="224">
        <f t="shared" si="32"/>
        <v>9.8684210526315787E-5</v>
      </c>
      <c r="H94" s="232">
        <f>Tabela11[[#This Row],[Proposta Orçamentária 2023]]/Tabela11[[#This Row],[Dotação Atual
2022]]</f>
        <v>0.66666666666666663</v>
      </c>
      <c r="I94" s="19">
        <v>0</v>
      </c>
      <c r="J94" s="19">
        <v>30000</v>
      </c>
      <c r="K94" s="19">
        <v>0</v>
      </c>
      <c r="L94" s="121">
        <v>0</v>
      </c>
      <c r="M94" s="19">
        <v>0</v>
      </c>
      <c r="N94" s="19">
        <v>0</v>
      </c>
      <c r="O94" s="121">
        <v>0</v>
      </c>
      <c r="P94" s="19">
        <v>0</v>
      </c>
      <c r="Q94" s="19">
        <v>0</v>
      </c>
      <c r="R94" s="19">
        <v>0</v>
      </c>
      <c r="S94" s="10">
        <v>0</v>
      </c>
    </row>
    <row r="95" spans="1:19" ht="12.75" x14ac:dyDescent="0.25">
      <c r="A95" s="193" t="s">
        <v>220</v>
      </c>
      <c r="B95" s="24" t="s">
        <v>744</v>
      </c>
      <c r="C95" s="69">
        <v>200000</v>
      </c>
      <c r="D95" s="12">
        <v>61508.42</v>
      </c>
      <c r="E95" s="244">
        <f t="shared" si="29"/>
        <v>0.30754209999999998</v>
      </c>
      <c r="F95" s="163">
        <f>SUM(Tabela11[[#This Row],[GOVERNANÇA
Direção e Liderança]:[GESTÃO
Infraestrutura
]])</f>
        <v>200000</v>
      </c>
      <c r="G95" s="224">
        <f t="shared" si="32"/>
        <v>6.5789473684210525E-4</v>
      </c>
      <c r="H95" s="232">
        <f>Tabela11[[#This Row],[Proposta Orçamentária 2023]]/Tabela11[[#This Row],[Dotação Atual
2022]]</f>
        <v>1</v>
      </c>
      <c r="I95" s="19">
        <v>0</v>
      </c>
      <c r="J95" s="19">
        <v>0</v>
      </c>
      <c r="K95" s="19">
        <v>0</v>
      </c>
      <c r="L95" s="121">
        <v>0</v>
      </c>
      <c r="M95" s="19">
        <v>0</v>
      </c>
      <c r="N95" s="19">
        <v>0</v>
      </c>
      <c r="O95" s="121">
        <v>0</v>
      </c>
      <c r="P95" s="19">
        <v>0</v>
      </c>
      <c r="Q95" s="19">
        <v>0</v>
      </c>
      <c r="R95" s="19">
        <v>200000</v>
      </c>
      <c r="S95" s="10">
        <v>0</v>
      </c>
    </row>
    <row r="96" spans="1:19" ht="12.75" x14ac:dyDescent="0.25">
      <c r="A96" s="193" t="s">
        <v>221</v>
      </c>
      <c r="B96" s="24" t="s">
        <v>745</v>
      </c>
      <c r="C96" s="69">
        <v>13000</v>
      </c>
      <c r="D96" s="12">
        <v>5320.16</v>
      </c>
      <c r="E96" s="244">
        <f t="shared" si="29"/>
        <v>0.40924307692307693</v>
      </c>
      <c r="F96" s="163">
        <f>SUM(Tabela11[[#This Row],[GOVERNANÇA
Direção e Liderança]:[GESTÃO
Infraestrutura
]])</f>
        <v>13000</v>
      </c>
      <c r="G96" s="224">
        <f t="shared" si="32"/>
        <v>4.276315789473684E-5</v>
      </c>
      <c r="H96" s="232">
        <f>Tabela11[[#This Row],[Proposta Orçamentária 2023]]/Tabela11[[#This Row],[Dotação Atual
2022]]</f>
        <v>1</v>
      </c>
      <c r="I96" s="19">
        <v>0</v>
      </c>
      <c r="J96" s="19">
        <v>0</v>
      </c>
      <c r="K96" s="19">
        <v>0</v>
      </c>
      <c r="L96" s="121">
        <v>0</v>
      </c>
      <c r="M96" s="19">
        <v>0</v>
      </c>
      <c r="N96" s="19">
        <v>0</v>
      </c>
      <c r="O96" s="121">
        <v>0</v>
      </c>
      <c r="P96" s="19">
        <v>0</v>
      </c>
      <c r="Q96" s="19">
        <v>0</v>
      </c>
      <c r="R96" s="19">
        <v>0</v>
      </c>
      <c r="S96" s="10">
        <v>13000</v>
      </c>
    </row>
    <row r="97" spans="1:19" ht="12.75" x14ac:dyDescent="0.25">
      <c r="A97" s="193" t="s">
        <v>222</v>
      </c>
      <c r="B97" s="24" t="s">
        <v>749</v>
      </c>
      <c r="C97" s="69">
        <v>685000</v>
      </c>
      <c r="D97" s="12">
        <v>104594.19</v>
      </c>
      <c r="E97" s="244">
        <f t="shared" si="29"/>
        <v>0.15269224817518248</v>
      </c>
      <c r="F97" s="163">
        <f>SUM(Tabela11[[#This Row],[GOVERNANÇA
Direção e Liderança]:[GESTÃO
Infraestrutura
]])</f>
        <v>625000</v>
      </c>
      <c r="G97" s="224">
        <f t="shared" si="32"/>
        <v>2.0559210526315788E-3</v>
      </c>
      <c r="H97" s="232">
        <f>Tabela11[[#This Row],[Proposta Orçamentária 2023]]/Tabela11[[#This Row],[Dotação Atual
2022]]</f>
        <v>0.91240875912408759</v>
      </c>
      <c r="I97" s="19">
        <v>0</v>
      </c>
      <c r="J97" s="19">
        <v>0</v>
      </c>
      <c r="K97" s="19">
        <v>0</v>
      </c>
      <c r="L97" s="121">
        <v>0</v>
      </c>
      <c r="M97" s="19">
        <v>0</v>
      </c>
      <c r="N97" s="19">
        <v>0</v>
      </c>
      <c r="O97" s="121">
        <v>0</v>
      </c>
      <c r="P97" s="19">
        <v>0</v>
      </c>
      <c r="Q97" s="19">
        <v>0</v>
      </c>
      <c r="R97" s="19">
        <v>0</v>
      </c>
      <c r="S97" s="10">
        <v>625000</v>
      </c>
    </row>
    <row r="98" spans="1:19" ht="12.75" x14ac:dyDescent="0.25">
      <c r="A98" s="193" t="s">
        <v>223</v>
      </c>
      <c r="B98" s="24" t="s">
        <v>756</v>
      </c>
      <c r="C98" s="69">
        <v>2987000</v>
      </c>
      <c r="D98" s="12">
        <v>418401.58</v>
      </c>
      <c r="E98" s="244">
        <f t="shared" si="29"/>
        <v>0.14007418145296285</v>
      </c>
      <c r="F98" s="163">
        <f>SUM(Tabela11[[#This Row],[GOVERNANÇA
Direção e Liderança]:[GESTÃO
Infraestrutura
]])</f>
        <v>6095000</v>
      </c>
      <c r="G98" s="224">
        <f t="shared" si="32"/>
        <v>2.0049342105263157E-2</v>
      </c>
      <c r="H98" s="232">
        <f>Tabela11[[#This Row],[Proposta Orçamentária 2023]]/Tabela11[[#This Row],[Dotação Atual
2022]]</f>
        <v>2.0405088717777033</v>
      </c>
      <c r="I98" s="19">
        <v>0</v>
      </c>
      <c r="J98" s="19">
        <v>0</v>
      </c>
      <c r="K98" s="19">
        <v>0</v>
      </c>
      <c r="L98" s="121">
        <v>0</v>
      </c>
      <c r="M98" s="19">
        <v>0</v>
      </c>
      <c r="N98" s="19">
        <v>0</v>
      </c>
      <c r="O98" s="121">
        <v>0</v>
      </c>
      <c r="P98" s="19">
        <v>0</v>
      </c>
      <c r="Q98" s="19">
        <v>0</v>
      </c>
      <c r="R98" s="19">
        <v>0</v>
      </c>
      <c r="S98" s="10">
        <v>6095000</v>
      </c>
    </row>
    <row r="99" spans="1:19" ht="12.75" x14ac:dyDescent="0.25">
      <c r="A99" s="193" t="s">
        <v>224</v>
      </c>
      <c r="B99" s="24" t="s">
        <v>746</v>
      </c>
      <c r="C99" s="69">
        <v>35000</v>
      </c>
      <c r="D99" s="12">
        <v>12848.48</v>
      </c>
      <c r="E99" s="244">
        <f t="shared" si="29"/>
        <v>0.36709942857142858</v>
      </c>
      <c r="F99" s="163">
        <f>SUM(Tabela11[[#This Row],[GOVERNANÇA
Direção e Liderança]:[GESTÃO
Infraestrutura
]])</f>
        <v>37000</v>
      </c>
      <c r="G99" s="224">
        <f t="shared" si="32"/>
        <v>1.2171052631578948E-4</v>
      </c>
      <c r="H99" s="232">
        <f>Tabela11[[#This Row],[Proposta Orçamentária 2023]]/Tabela11[[#This Row],[Dotação Atual
2022]]</f>
        <v>1.0571428571428572</v>
      </c>
      <c r="I99" s="19">
        <v>0</v>
      </c>
      <c r="J99" s="19">
        <v>0</v>
      </c>
      <c r="K99" s="19">
        <v>0</v>
      </c>
      <c r="L99" s="121">
        <v>0</v>
      </c>
      <c r="M99" s="19">
        <v>0</v>
      </c>
      <c r="N99" s="19">
        <v>0</v>
      </c>
      <c r="O99" s="121">
        <v>0</v>
      </c>
      <c r="P99" s="19">
        <v>0</v>
      </c>
      <c r="Q99" s="19">
        <v>0</v>
      </c>
      <c r="R99" s="19">
        <v>0</v>
      </c>
      <c r="S99" s="10">
        <v>37000</v>
      </c>
    </row>
    <row r="100" spans="1:19" ht="12.75" x14ac:dyDescent="0.25">
      <c r="A100" s="193" t="s">
        <v>225</v>
      </c>
      <c r="B100" s="24" t="s">
        <v>747</v>
      </c>
      <c r="C100" s="69">
        <v>450000</v>
      </c>
      <c r="D100" s="12">
        <v>212855.53</v>
      </c>
      <c r="E100" s="244">
        <f t="shared" si="29"/>
        <v>0.47301228888888891</v>
      </c>
      <c r="F100" s="163">
        <f>SUM(Tabela11[[#This Row],[GOVERNANÇA
Direção e Liderança]:[GESTÃO
Infraestrutura
]])</f>
        <v>500000</v>
      </c>
      <c r="G100" s="224">
        <f t="shared" si="32"/>
        <v>1.6447368421052631E-3</v>
      </c>
      <c r="H100" s="232">
        <f>Tabela11[[#This Row],[Proposta Orçamentária 2023]]/Tabela11[[#This Row],[Dotação Atual
2022]]</f>
        <v>1.1111111111111112</v>
      </c>
      <c r="I100" s="19">
        <v>0</v>
      </c>
      <c r="J100" s="19">
        <v>0</v>
      </c>
      <c r="K100" s="19">
        <v>0</v>
      </c>
      <c r="L100" s="121">
        <v>0</v>
      </c>
      <c r="M100" s="19">
        <v>0</v>
      </c>
      <c r="N100" s="19">
        <v>0</v>
      </c>
      <c r="O100" s="121">
        <v>0</v>
      </c>
      <c r="P100" s="19">
        <v>0</v>
      </c>
      <c r="Q100" s="19">
        <v>0</v>
      </c>
      <c r="R100" s="19">
        <v>0</v>
      </c>
      <c r="S100" s="10">
        <v>500000</v>
      </c>
    </row>
    <row r="101" spans="1:19" ht="12.75" x14ac:dyDescent="0.25">
      <c r="A101" s="193" t="s">
        <v>226</v>
      </c>
      <c r="B101" s="24" t="s">
        <v>748</v>
      </c>
      <c r="C101" s="69">
        <v>75000</v>
      </c>
      <c r="D101" s="12">
        <v>22884.04</v>
      </c>
      <c r="E101" s="244">
        <f t="shared" si="29"/>
        <v>0.30512053333333333</v>
      </c>
      <c r="F101" s="163">
        <f>SUM(Tabela11[[#This Row],[GOVERNANÇA
Direção e Liderança]:[GESTÃO
Infraestrutura
]])</f>
        <v>75000</v>
      </c>
      <c r="G101" s="224">
        <f t="shared" si="32"/>
        <v>2.4671052631578948E-4</v>
      </c>
      <c r="H101" s="232">
        <f>Tabela11[[#This Row],[Proposta Orçamentária 2023]]/Tabela11[[#This Row],[Dotação Atual
2022]]</f>
        <v>1</v>
      </c>
      <c r="I101" s="19">
        <v>0</v>
      </c>
      <c r="J101" s="19">
        <v>0</v>
      </c>
      <c r="K101" s="19">
        <v>0</v>
      </c>
      <c r="L101" s="121">
        <v>0</v>
      </c>
      <c r="M101" s="19">
        <v>0</v>
      </c>
      <c r="N101" s="19">
        <v>0</v>
      </c>
      <c r="O101" s="121">
        <v>0</v>
      </c>
      <c r="P101" s="19">
        <v>0</v>
      </c>
      <c r="Q101" s="19">
        <v>0</v>
      </c>
      <c r="R101" s="19">
        <v>0</v>
      </c>
      <c r="S101" s="10">
        <v>75000</v>
      </c>
    </row>
    <row r="102" spans="1:19" ht="12.75" x14ac:dyDescent="0.25">
      <c r="A102" s="193" t="s">
        <v>227</v>
      </c>
      <c r="B102" s="24" t="s">
        <v>750</v>
      </c>
      <c r="C102" s="69">
        <v>300000</v>
      </c>
      <c r="D102" s="12">
        <v>111972.2</v>
      </c>
      <c r="E102" s="244">
        <f t="shared" si="29"/>
        <v>0.37324066666666667</v>
      </c>
      <c r="F102" s="163">
        <f>SUM(Tabela11[[#This Row],[GOVERNANÇA
Direção e Liderança]:[GESTÃO
Infraestrutura
]])</f>
        <v>360000</v>
      </c>
      <c r="G102" s="224">
        <f t="shared" si="32"/>
        <v>1.1842105263157896E-3</v>
      </c>
      <c r="H102" s="232">
        <f>Tabela11[[#This Row],[Proposta Orçamentária 2023]]/Tabela11[[#This Row],[Dotação Atual
2022]]</f>
        <v>1.2</v>
      </c>
      <c r="I102" s="19">
        <v>0</v>
      </c>
      <c r="J102" s="19">
        <v>0</v>
      </c>
      <c r="K102" s="19">
        <v>0</v>
      </c>
      <c r="L102" s="121">
        <v>0</v>
      </c>
      <c r="M102" s="19">
        <v>0</v>
      </c>
      <c r="N102" s="19">
        <v>0</v>
      </c>
      <c r="O102" s="121">
        <v>0</v>
      </c>
      <c r="P102" s="19">
        <v>260000</v>
      </c>
      <c r="Q102" s="19">
        <v>100000</v>
      </c>
      <c r="R102" s="19">
        <v>0</v>
      </c>
      <c r="S102" s="10">
        <v>0</v>
      </c>
    </row>
    <row r="103" spans="1:19" ht="12.75" x14ac:dyDescent="0.25">
      <c r="A103" s="193" t="s">
        <v>228</v>
      </c>
      <c r="B103" s="24" t="s">
        <v>751</v>
      </c>
      <c r="C103" s="69">
        <v>187500</v>
      </c>
      <c r="D103" s="12">
        <v>59180.58</v>
      </c>
      <c r="E103" s="244">
        <f t="shared" si="29"/>
        <v>0.31562976000000004</v>
      </c>
      <c r="F103" s="163">
        <f>SUM(Tabela11[[#This Row],[GOVERNANÇA
Direção e Liderança]:[GESTÃO
Infraestrutura
]])</f>
        <v>400000</v>
      </c>
      <c r="G103" s="224">
        <f t="shared" si="32"/>
        <v>1.3157894736842105E-3</v>
      </c>
      <c r="H103" s="232">
        <f>Tabela11[[#This Row],[Proposta Orçamentária 2023]]/Tabela11[[#This Row],[Dotação Atual
2022]]</f>
        <v>2.1333333333333333</v>
      </c>
      <c r="I103" s="19">
        <v>0</v>
      </c>
      <c r="J103" s="19">
        <v>0</v>
      </c>
      <c r="K103" s="19">
        <v>0</v>
      </c>
      <c r="L103" s="121">
        <v>0</v>
      </c>
      <c r="M103" s="19">
        <v>0</v>
      </c>
      <c r="N103" s="19">
        <v>0</v>
      </c>
      <c r="O103" s="121">
        <v>0</v>
      </c>
      <c r="P103" s="19">
        <v>0</v>
      </c>
      <c r="Q103" s="19">
        <v>0</v>
      </c>
      <c r="R103" s="19">
        <v>0</v>
      </c>
      <c r="S103" s="10">
        <v>400000</v>
      </c>
    </row>
    <row r="104" spans="1:19" ht="12.75" x14ac:dyDescent="0.25">
      <c r="A104" s="193" t="s">
        <v>229</v>
      </c>
      <c r="B104" s="24" t="s">
        <v>752</v>
      </c>
      <c r="C104" s="69">
        <v>190000</v>
      </c>
      <c r="D104" s="12">
        <v>32957.79</v>
      </c>
      <c r="E104" s="244">
        <f t="shared" si="29"/>
        <v>0.17346205263157896</v>
      </c>
      <c r="F104" s="163">
        <f>SUM(Tabela11[[#This Row],[GOVERNANÇA
Direção e Liderança]:[GESTÃO
Infraestrutura
]])</f>
        <v>79500</v>
      </c>
      <c r="G104" s="224">
        <f t="shared" si="32"/>
        <v>2.6151315789473684E-4</v>
      </c>
      <c r="H104" s="232">
        <f>Tabela11[[#This Row],[Proposta Orçamentária 2023]]/Tabela11[[#This Row],[Dotação Atual
2022]]</f>
        <v>0.41842105263157897</v>
      </c>
      <c r="I104" s="19">
        <v>0</v>
      </c>
      <c r="J104" s="19">
        <v>0</v>
      </c>
      <c r="K104" s="19">
        <v>0</v>
      </c>
      <c r="L104" s="121">
        <v>0</v>
      </c>
      <c r="M104" s="19">
        <v>0</v>
      </c>
      <c r="N104" s="19">
        <v>0</v>
      </c>
      <c r="O104" s="121">
        <v>0</v>
      </c>
      <c r="P104" s="19">
        <v>0</v>
      </c>
      <c r="Q104" s="19">
        <v>0</v>
      </c>
      <c r="R104" s="19">
        <v>79500</v>
      </c>
      <c r="S104" s="10">
        <v>0</v>
      </c>
    </row>
    <row r="105" spans="1:19" ht="12.75" x14ac:dyDescent="0.25">
      <c r="A105" s="193" t="s">
        <v>230</v>
      </c>
      <c r="B105" s="24" t="s">
        <v>753</v>
      </c>
      <c r="C105" s="69">
        <v>163965</v>
      </c>
      <c r="D105" s="12">
        <v>0</v>
      </c>
      <c r="E105" s="244">
        <f t="shared" si="29"/>
        <v>0</v>
      </c>
      <c r="F105" s="163">
        <f>SUM(Tabela11[[#This Row],[GOVERNANÇA
Direção e Liderança]:[GESTÃO
Infraestrutura
]])</f>
        <v>275000</v>
      </c>
      <c r="G105" s="224">
        <f t="shared" si="32"/>
        <v>9.0460526315789473E-4</v>
      </c>
      <c r="H105" s="232">
        <f>Tabela11[[#This Row],[Proposta Orçamentária 2023]]/Tabela11[[#This Row],[Dotação Atual
2022]]</f>
        <v>1.6771872045863447</v>
      </c>
      <c r="I105" s="19">
        <v>0</v>
      </c>
      <c r="J105" s="19">
        <v>275000</v>
      </c>
      <c r="K105" s="19">
        <v>0</v>
      </c>
      <c r="L105" s="121">
        <v>0</v>
      </c>
      <c r="M105" s="19">
        <v>0</v>
      </c>
      <c r="N105" s="19">
        <v>0</v>
      </c>
      <c r="O105" s="121">
        <v>0</v>
      </c>
      <c r="P105" s="19">
        <v>0</v>
      </c>
      <c r="Q105" s="19">
        <v>0</v>
      </c>
      <c r="R105" s="19">
        <v>0</v>
      </c>
      <c r="S105" s="10">
        <v>0</v>
      </c>
    </row>
    <row r="106" spans="1:19" ht="12.75" x14ac:dyDescent="0.25">
      <c r="A106" s="193" t="s">
        <v>231</v>
      </c>
      <c r="B106" s="24" t="s">
        <v>754</v>
      </c>
      <c r="C106" s="69">
        <v>1248000</v>
      </c>
      <c r="D106" s="12">
        <v>509777.37</v>
      </c>
      <c r="E106" s="244">
        <v>0</v>
      </c>
      <c r="F106" s="163">
        <f>SUM(Tabela11[[#This Row],[GOVERNANÇA
Direção e Liderança]:[GESTÃO
Infraestrutura
]])</f>
        <v>3005000</v>
      </c>
      <c r="G106" s="224">
        <f t="shared" ref="G106:G137" si="35">+F106/$F$10</f>
        <v>9.8848684210526318E-3</v>
      </c>
      <c r="H106" s="232">
        <f>Tabela11[[#This Row],[Proposta Orçamentária 2023]]/Tabela11[[#This Row],[Dotação Atual
2022]]</f>
        <v>2.4078525641025643</v>
      </c>
      <c r="I106" s="19">
        <v>0</v>
      </c>
      <c r="J106" s="19">
        <v>0</v>
      </c>
      <c r="K106" s="19">
        <v>0</v>
      </c>
      <c r="L106" s="121">
        <v>0</v>
      </c>
      <c r="M106" s="19">
        <v>0</v>
      </c>
      <c r="N106" s="19">
        <v>0</v>
      </c>
      <c r="O106" s="121">
        <v>0</v>
      </c>
      <c r="P106" s="19">
        <v>3000000</v>
      </c>
      <c r="Q106" s="19">
        <v>0</v>
      </c>
      <c r="R106" s="19">
        <v>0</v>
      </c>
      <c r="S106" s="10">
        <v>5000</v>
      </c>
    </row>
    <row r="107" spans="1:19" ht="12.75" x14ac:dyDescent="0.25">
      <c r="A107" s="193" t="s">
        <v>232</v>
      </c>
      <c r="B107" s="24" t="s">
        <v>757</v>
      </c>
      <c r="C107" s="69">
        <v>215000</v>
      </c>
      <c r="D107" s="12">
        <v>23115.84</v>
      </c>
      <c r="E107" s="244">
        <f t="shared" si="29"/>
        <v>0.10751553488372093</v>
      </c>
      <c r="F107" s="163">
        <f>SUM(Tabela11[[#This Row],[GOVERNANÇA
Direção e Liderança]:[GESTÃO
Infraestrutura
]])</f>
        <v>180000</v>
      </c>
      <c r="G107" s="224">
        <f t="shared" si="35"/>
        <v>5.9210526315789478E-4</v>
      </c>
      <c r="H107" s="232">
        <f>Tabela11[[#This Row],[Proposta Orçamentária 2023]]/Tabela11[[#This Row],[Dotação Atual
2022]]</f>
        <v>0.83720930232558144</v>
      </c>
      <c r="I107" s="19">
        <v>0</v>
      </c>
      <c r="J107" s="19">
        <v>180000</v>
      </c>
      <c r="K107" s="19">
        <v>0</v>
      </c>
      <c r="L107" s="121">
        <v>0</v>
      </c>
      <c r="M107" s="19">
        <v>0</v>
      </c>
      <c r="N107" s="19">
        <v>0</v>
      </c>
      <c r="O107" s="121">
        <v>0</v>
      </c>
      <c r="P107" s="19">
        <v>0</v>
      </c>
      <c r="Q107" s="19">
        <v>0</v>
      </c>
      <c r="R107" s="19">
        <v>0</v>
      </c>
      <c r="S107" s="10">
        <v>0</v>
      </c>
    </row>
    <row r="108" spans="1:19" ht="12.75" x14ac:dyDescent="0.25">
      <c r="A108" s="193" t="s">
        <v>233</v>
      </c>
      <c r="B108" s="24" t="s">
        <v>758</v>
      </c>
      <c r="C108" s="69">
        <v>9713900</v>
      </c>
      <c r="D108" s="12">
        <v>2566609</v>
      </c>
      <c r="E108" s="244">
        <f t="shared" ref="E108:E151" si="36">+D108/C108</f>
        <v>0.26422024109780828</v>
      </c>
      <c r="F108" s="163">
        <f>SUM(Tabela11[[#This Row],[GOVERNANÇA
Direção e Liderança]:[GESTÃO
Infraestrutura
]])</f>
        <v>10841000</v>
      </c>
      <c r="G108" s="224">
        <f t="shared" si="35"/>
        <v>3.5661184210526317E-2</v>
      </c>
      <c r="H108" s="232">
        <f>Tabela11[[#This Row],[Proposta Orçamentária 2023]]/Tabela11[[#This Row],[Dotação Atual
2022]]</f>
        <v>1.1160296070579272</v>
      </c>
      <c r="I108" s="19">
        <v>4344000</v>
      </c>
      <c r="J108" s="19">
        <v>3839000</v>
      </c>
      <c r="K108" s="19">
        <v>504000</v>
      </c>
      <c r="L108" s="121">
        <v>30000</v>
      </c>
      <c r="M108" s="19">
        <v>168000</v>
      </c>
      <c r="N108" s="19">
        <v>0</v>
      </c>
      <c r="O108" s="121">
        <v>1912000</v>
      </c>
      <c r="P108" s="19">
        <v>44000</v>
      </c>
      <c r="Q108" s="19">
        <v>0</v>
      </c>
      <c r="R108" s="19">
        <v>0</v>
      </c>
      <c r="S108" s="10">
        <v>0</v>
      </c>
    </row>
    <row r="109" spans="1:19" ht="12.75" x14ac:dyDescent="0.25">
      <c r="A109" s="193" t="s">
        <v>234</v>
      </c>
      <c r="B109" s="24" t="s">
        <v>759</v>
      </c>
      <c r="C109" s="69">
        <v>3390500</v>
      </c>
      <c r="D109" s="12">
        <v>744200.73</v>
      </c>
      <c r="E109" s="244">
        <f t="shared" si="36"/>
        <v>0.21949586491667894</v>
      </c>
      <c r="F109" s="163">
        <f>SUM(Tabela11[[#This Row],[GOVERNANÇA
Direção e Liderança]:[GESTÃO
Infraestrutura
]])</f>
        <v>3966000</v>
      </c>
      <c r="G109" s="224">
        <f t="shared" si="35"/>
        <v>1.3046052631578948E-2</v>
      </c>
      <c r="H109" s="232">
        <f>Tabela11[[#This Row],[Proposta Orçamentária 2023]]/Tabela11[[#This Row],[Dotação Atual
2022]]</f>
        <v>1.1697389765521309</v>
      </c>
      <c r="I109" s="19">
        <v>396000</v>
      </c>
      <c r="J109" s="19">
        <v>782000</v>
      </c>
      <c r="K109" s="19">
        <v>1568000</v>
      </c>
      <c r="L109" s="121">
        <v>308000</v>
      </c>
      <c r="M109" s="19">
        <v>170000</v>
      </c>
      <c r="N109" s="19">
        <v>96000</v>
      </c>
      <c r="O109" s="121">
        <v>124000</v>
      </c>
      <c r="P109" s="19">
        <v>292000</v>
      </c>
      <c r="Q109" s="19">
        <v>202000</v>
      </c>
      <c r="R109" s="19">
        <v>28000</v>
      </c>
      <c r="S109" s="10">
        <v>0</v>
      </c>
    </row>
    <row r="110" spans="1:19" ht="12.75" x14ac:dyDescent="0.25">
      <c r="A110" s="193" t="s">
        <v>235</v>
      </c>
      <c r="B110" s="24" t="s">
        <v>760</v>
      </c>
      <c r="C110" s="69">
        <v>3248600</v>
      </c>
      <c r="D110" s="12">
        <v>514054.59</v>
      </c>
      <c r="E110" s="244">
        <f t="shared" si="36"/>
        <v>0.15823880748630179</v>
      </c>
      <c r="F110" s="163">
        <f>SUM(Tabela11[[#This Row],[GOVERNANÇA
Direção e Liderança]:[GESTÃO
Infraestrutura
]])</f>
        <v>3104000</v>
      </c>
      <c r="G110" s="224">
        <f t="shared" si="35"/>
        <v>1.0210526315789474E-2</v>
      </c>
      <c r="H110" s="232">
        <f>Tabela11[[#This Row],[Proposta Orçamentária 2023]]/Tabela11[[#This Row],[Dotação Atual
2022]]</f>
        <v>0.9554885181308872</v>
      </c>
      <c r="I110" s="19">
        <v>546000</v>
      </c>
      <c r="J110" s="19">
        <v>1778000</v>
      </c>
      <c r="K110" s="19">
        <v>204000</v>
      </c>
      <c r="L110" s="121">
        <v>0</v>
      </c>
      <c r="M110" s="19">
        <v>0</v>
      </c>
      <c r="N110" s="19">
        <v>0</v>
      </c>
      <c r="O110" s="121">
        <v>534000</v>
      </c>
      <c r="P110" s="19">
        <v>42000</v>
      </c>
      <c r="Q110" s="19">
        <v>0</v>
      </c>
      <c r="R110" s="19">
        <v>0</v>
      </c>
      <c r="S110" s="10">
        <v>0</v>
      </c>
    </row>
    <row r="111" spans="1:19" ht="12.75" x14ac:dyDescent="0.25">
      <c r="A111" s="193" t="s">
        <v>236</v>
      </c>
      <c r="B111" s="24" t="s">
        <v>761</v>
      </c>
      <c r="C111" s="92">
        <v>1046000</v>
      </c>
      <c r="D111" s="19">
        <v>362438.21</v>
      </c>
      <c r="E111" s="244">
        <f t="shared" si="36"/>
        <v>0.34649924474187382</v>
      </c>
      <c r="F111" s="163">
        <f>SUM(Tabela11[[#This Row],[GOVERNANÇA
Direção e Liderança]:[GESTÃO
Infraestrutura
]])</f>
        <v>1080000</v>
      </c>
      <c r="G111" s="224">
        <f t="shared" si="35"/>
        <v>3.5526315789473684E-3</v>
      </c>
      <c r="H111" s="232">
        <f>Tabela11[[#This Row],[Proposta Orçamentária 2023]]/Tabela11[[#This Row],[Dotação Atual
2022]]</f>
        <v>1.0325047801147227</v>
      </c>
      <c r="I111" s="19">
        <v>0</v>
      </c>
      <c r="J111" s="19">
        <v>0</v>
      </c>
      <c r="K111" s="19">
        <v>0</v>
      </c>
      <c r="L111" s="121">
        <v>0</v>
      </c>
      <c r="M111" s="19">
        <v>0</v>
      </c>
      <c r="N111" s="19">
        <v>0</v>
      </c>
      <c r="O111" s="121">
        <v>0</v>
      </c>
      <c r="P111" s="19">
        <v>0</v>
      </c>
      <c r="Q111" s="19">
        <v>0</v>
      </c>
      <c r="R111" s="19">
        <v>0</v>
      </c>
      <c r="S111" s="10">
        <v>1080000</v>
      </c>
    </row>
    <row r="112" spans="1:19" ht="12.75" x14ac:dyDescent="0.25">
      <c r="A112" s="45" t="s">
        <v>331</v>
      </c>
      <c r="B112" s="71" t="s">
        <v>762</v>
      </c>
      <c r="C112" s="92">
        <v>5985000</v>
      </c>
      <c r="D112" s="19">
        <v>1650585.04</v>
      </c>
      <c r="E112" s="245">
        <f t="shared" si="36"/>
        <v>0.27578697410192149</v>
      </c>
      <c r="F112" s="165">
        <f>SUM(Tabela11[[#This Row],[GOVERNANÇA
Direção e Liderança]:[GESTÃO
Infraestrutura
]])</f>
        <v>7500000</v>
      </c>
      <c r="G112" s="225">
        <f t="shared" si="35"/>
        <v>2.4671052631578948E-2</v>
      </c>
      <c r="H112" s="233">
        <f>Tabela11[[#This Row],[Proposta Orçamentária 2023]]/Tabela11[[#This Row],[Dotação Atual
2022]]</f>
        <v>1.2531328320802004</v>
      </c>
      <c r="I112" s="19">
        <v>0</v>
      </c>
      <c r="J112" s="19">
        <v>0</v>
      </c>
      <c r="K112" s="19">
        <v>0</v>
      </c>
      <c r="L112" s="121">
        <v>0</v>
      </c>
      <c r="M112" s="19">
        <v>0</v>
      </c>
      <c r="N112" s="19">
        <v>0</v>
      </c>
      <c r="O112" s="121">
        <v>0</v>
      </c>
      <c r="P112" s="19">
        <v>7500000</v>
      </c>
      <c r="Q112" s="19">
        <v>0</v>
      </c>
      <c r="R112" s="19">
        <v>0</v>
      </c>
      <c r="S112" s="10">
        <v>0</v>
      </c>
    </row>
    <row r="113" spans="1:20" ht="12.75" x14ac:dyDescent="0.25">
      <c r="A113" s="45" t="s">
        <v>388</v>
      </c>
      <c r="B113" s="71" t="s">
        <v>763</v>
      </c>
      <c r="C113" s="92">
        <v>8235600</v>
      </c>
      <c r="D113" s="19">
        <v>661770</v>
      </c>
      <c r="E113" s="245">
        <f t="shared" si="36"/>
        <v>8.0354801107387436E-2</v>
      </c>
      <c r="F113" s="165">
        <f>SUM(Tabela11[[#This Row],[GOVERNANÇA
Direção e Liderança]:[GESTÃO
Infraestrutura
]])</f>
        <v>8000000</v>
      </c>
      <c r="G113" s="225">
        <f t="shared" si="35"/>
        <v>2.6315789473684209E-2</v>
      </c>
      <c r="H113" s="233">
        <f>Tabela11[[#This Row],[Proposta Orçamentária 2023]]/Tabela11[[#This Row],[Dotação Atual
2022]]</f>
        <v>0.97139249113604353</v>
      </c>
      <c r="I113" s="19">
        <v>0</v>
      </c>
      <c r="J113" s="19">
        <v>0</v>
      </c>
      <c r="K113" s="19">
        <v>0</v>
      </c>
      <c r="L113" s="121">
        <v>0</v>
      </c>
      <c r="M113" s="19">
        <v>0</v>
      </c>
      <c r="N113" s="19">
        <v>0</v>
      </c>
      <c r="O113" s="121">
        <v>0</v>
      </c>
      <c r="P113" s="19">
        <v>8000000</v>
      </c>
      <c r="Q113" s="19">
        <v>0</v>
      </c>
      <c r="R113" s="19">
        <v>0</v>
      </c>
      <c r="S113" s="10">
        <v>0</v>
      </c>
    </row>
    <row r="114" spans="1:20" ht="12.75" x14ac:dyDescent="0.25">
      <c r="A114" s="45" t="s">
        <v>389</v>
      </c>
      <c r="B114" s="71" t="s">
        <v>764</v>
      </c>
      <c r="C114" s="92">
        <v>1500000</v>
      </c>
      <c r="D114" s="19">
        <v>250000</v>
      </c>
      <c r="E114" s="245">
        <f t="shared" si="36"/>
        <v>0.16666666666666666</v>
      </c>
      <c r="F114" s="165">
        <f>SUM(Tabela11[[#This Row],[GOVERNANÇA
Direção e Liderança]:[GESTÃO
Infraestrutura
]])</f>
        <v>1750000</v>
      </c>
      <c r="G114" s="225">
        <f t="shared" si="35"/>
        <v>5.7565789473684207E-3</v>
      </c>
      <c r="H114" s="233">
        <f>Tabela11[[#This Row],[Proposta Orçamentária 2023]]/Tabela11[[#This Row],[Dotação Atual
2022]]</f>
        <v>1.1666666666666667</v>
      </c>
      <c r="I114" s="19">
        <v>0</v>
      </c>
      <c r="J114" s="19">
        <v>0</v>
      </c>
      <c r="K114" s="19">
        <v>0</v>
      </c>
      <c r="L114" s="121">
        <v>0</v>
      </c>
      <c r="M114" s="19">
        <v>0</v>
      </c>
      <c r="N114" s="19">
        <v>0</v>
      </c>
      <c r="O114" s="121">
        <v>0</v>
      </c>
      <c r="P114" s="19">
        <v>1750000</v>
      </c>
      <c r="Q114" s="19">
        <v>0</v>
      </c>
      <c r="R114" s="19">
        <v>0</v>
      </c>
      <c r="S114" s="10">
        <v>0</v>
      </c>
    </row>
    <row r="115" spans="1:20" ht="12.75" x14ac:dyDescent="0.25">
      <c r="A115" s="45" t="s">
        <v>409</v>
      </c>
      <c r="B115" s="71" t="s">
        <v>765</v>
      </c>
      <c r="C115" s="92">
        <v>400700</v>
      </c>
      <c r="D115" s="19">
        <v>0</v>
      </c>
      <c r="E115" s="245">
        <f t="shared" si="36"/>
        <v>0</v>
      </c>
      <c r="F115" s="165">
        <f>SUM(Tabela11[[#This Row],[GOVERNANÇA
Direção e Liderança]:[GESTÃO
Infraestrutura
]])</f>
        <v>350000</v>
      </c>
      <c r="G115" s="225">
        <f t="shared" si="35"/>
        <v>1.1513157894736841E-3</v>
      </c>
      <c r="H115" s="233">
        <f>Tabela11[[#This Row],[Proposta Orçamentária 2023]]/Tabela11[[#This Row],[Dotação Atual
2022]]</f>
        <v>0.87347142500623909</v>
      </c>
      <c r="I115" s="19">
        <v>0</v>
      </c>
      <c r="J115" s="19">
        <v>0</v>
      </c>
      <c r="K115" s="19">
        <v>0</v>
      </c>
      <c r="L115" s="121">
        <v>0</v>
      </c>
      <c r="M115" s="19">
        <v>0</v>
      </c>
      <c r="N115" s="19">
        <v>0</v>
      </c>
      <c r="O115" s="121">
        <v>0</v>
      </c>
      <c r="P115" s="19">
        <v>0</v>
      </c>
      <c r="Q115" s="19">
        <v>350000</v>
      </c>
      <c r="R115" s="19">
        <v>0</v>
      </c>
      <c r="S115" s="10">
        <v>0</v>
      </c>
    </row>
    <row r="116" spans="1:20" s="5" customFormat="1" ht="12.75" x14ac:dyDescent="0.25">
      <c r="A116" s="192" t="s">
        <v>238</v>
      </c>
      <c r="B116" s="23" t="s">
        <v>239</v>
      </c>
      <c r="C116" s="68">
        <f>C117</f>
        <v>123000</v>
      </c>
      <c r="D116" s="11">
        <f>D117</f>
        <v>41702.129999999997</v>
      </c>
      <c r="E116" s="242">
        <f t="shared" si="36"/>
        <v>0.33904170731707317</v>
      </c>
      <c r="F116" s="162">
        <f>SUM(Tabela11[[#This Row],[GOVERNANÇA
Direção e Liderança]:[GESTÃO
Infraestrutura
]])</f>
        <v>120000</v>
      </c>
      <c r="G116" s="223">
        <f t="shared" si="35"/>
        <v>3.9473684210526315E-4</v>
      </c>
      <c r="H116" s="230">
        <f>Tabela11[[#This Row],[Proposta Orçamentária 2023]]/Tabela11[[#This Row],[Dotação Atual
2022]]</f>
        <v>0.97560975609756095</v>
      </c>
      <c r="I116" s="20">
        <f>I117</f>
        <v>0</v>
      </c>
      <c r="J116" s="20">
        <f t="shared" ref="J116:S116" si="37">J117</f>
        <v>90000</v>
      </c>
      <c r="K116" s="20">
        <f t="shared" si="37"/>
        <v>5000</v>
      </c>
      <c r="L116" s="119">
        <f t="shared" si="37"/>
        <v>20000</v>
      </c>
      <c r="M116" s="20">
        <f t="shared" si="37"/>
        <v>0</v>
      </c>
      <c r="N116" s="20">
        <f t="shared" si="37"/>
        <v>0</v>
      </c>
      <c r="O116" s="119">
        <f t="shared" si="37"/>
        <v>0</v>
      </c>
      <c r="P116" s="20">
        <f t="shared" si="37"/>
        <v>0</v>
      </c>
      <c r="Q116" s="20">
        <f t="shared" si="37"/>
        <v>0</v>
      </c>
      <c r="R116" s="20">
        <f t="shared" si="37"/>
        <v>0</v>
      </c>
      <c r="S116" s="7">
        <f t="shared" si="37"/>
        <v>5000</v>
      </c>
      <c r="T116" s="7"/>
    </row>
    <row r="117" spans="1:20" s="5" customFormat="1" ht="12.75" x14ac:dyDescent="0.25">
      <c r="A117" s="192" t="s">
        <v>240</v>
      </c>
      <c r="B117" s="23" t="s">
        <v>241</v>
      </c>
      <c r="C117" s="68">
        <f>SUM(C118:C120)</f>
        <v>123000</v>
      </c>
      <c r="D117" s="11">
        <f>SUM(D118:D120)</f>
        <v>41702.129999999997</v>
      </c>
      <c r="E117" s="242">
        <f t="shared" si="36"/>
        <v>0.33904170731707317</v>
      </c>
      <c r="F117" s="162">
        <f>SUM(Tabela11[[#This Row],[GOVERNANÇA
Direção e Liderança]:[GESTÃO
Infraestrutura
]])</f>
        <v>120000</v>
      </c>
      <c r="G117" s="223">
        <f t="shared" si="35"/>
        <v>3.9473684210526315E-4</v>
      </c>
      <c r="H117" s="230">
        <f>Tabela11[[#This Row],[Proposta Orçamentária 2023]]/Tabela11[[#This Row],[Dotação Atual
2022]]</f>
        <v>0.97560975609756095</v>
      </c>
      <c r="I117" s="20">
        <f>SUM(I118:I120)</f>
        <v>0</v>
      </c>
      <c r="J117" s="20">
        <f t="shared" ref="J117" si="38">SUM(J118:J120)</f>
        <v>90000</v>
      </c>
      <c r="K117" s="20">
        <f t="shared" ref="K117:S117" si="39">SUM(K118:K120)</f>
        <v>5000</v>
      </c>
      <c r="L117" s="119">
        <f t="shared" si="39"/>
        <v>20000</v>
      </c>
      <c r="M117" s="20">
        <f t="shared" si="39"/>
        <v>0</v>
      </c>
      <c r="N117" s="20">
        <f t="shared" si="39"/>
        <v>0</v>
      </c>
      <c r="O117" s="119">
        <f t="shared" si="39"/>
        <v>0</v>
      </c>
      <c r="P117" s="20">
        <f t="shared" si="39"/>
        <v>0</v>
      </c>
      <c r="Q117" s="20">
        <f t="shared" si="39"/>
        <v>0</v>
      </c>
      <c r="R117" s="20">
        <f t="shared" si="39"/>
        <v>0</v>
      </c>
      <c r="S117" s="7">
        <f t="shared" si="39"/>
        <v>5000</v>
      </c>
    </row>
    <row r="118" spans="1:20" ht="12.75" x14ac:dyDescent="0.25">
      <c r="A118" s="193" t="s">
        <v>350</v>
      </c>
      <c r="B118" s="24" t="s">
        <v>768</v>
      </c>
      <c r="C118" s="69">
        <v>14000</v>
      </c>
      <c r="D118" s="12">
        <v>0</v>
      </c>
      <c r="E118" s="244">
        <f t="shared" si="36"/>
        <v>0</v>
      </c>
      <c r="F118" s="163">
        <f>SUM(Tabela11[[#This Row],[GOVERNANÇA
Direção e Liderança]:[GESTÃO
Infraestrutura
]])</f>
        <v>5000</v>
      </c>
      <c r="G118" s="224">
        <f t="shared" si="35"/>
        <v>1.6447368421052631E-5</v>
      </c>
      <c r="H118" s="232">
        <f>Tabela11[[#This Row],[Proposta Orçamentária 2023]]/Tabela11[[#This Row],[Dotação Atual
2022]]</f>
        <v>0.35714285714285715</v>
      </c>
      <c r="I118" s="19">
        <v>0</v>
      </c>
      <c r="J118" s="19">
        <v>0</v>
      </c>
      <c r="K118" s="19">
        <v>5000</v>
      </c>
      <c r="L118" s="121">
        <v>0</v>
      </c>
      <c r="M118" s="19">
        <v>0</v>
      </c>
      <c r="N118" s="19">
        <v>0</v>
      </c>
      <c r="O118" s="121">
        <v>0</v>
      </c>
      <c r="P118" s="19">
        <v>0</v>
      </c>
      <c r="Q118" s="19">
        <v>0</v>
      </c>
      <c r="R118" s="19">
        <v>0</v>
      </c>
      <c r="S118" s="10">
        <v>0</v>
      </c>
    </row>
    <row r="119" spans="1:20" ht="12.75" x14ac:dyDescent="0.25">
      <c r="A119" s="193" t="s">
        <v>349</v>
      </c>
      <c r="B119" s="24" t="s">
        <v>769</v>
      </c>
      <c r="C119" s="69">
        <v>89000</v>
      </c>
      <c r="D119" s="12">
        <v>40647.31</v>
      </c>
      <c r="E119" s="244">
        <f t="shared" si="36"/>
        <v>0.45671134831460669</v>
      </c>
      <c r="F119" s="163">
        <f>SUM(Tabela11[[#This Row],[GOVERNANÇA
Direção e Liderança]:[GESTÃO
Infraestrutura
]])</f>
        <v>95000</v>
      </c>
      <c r="G119" s="224">
        <f t="shared" si="35"/>
        <v>3.1250000000000001E-4</v>
      </c>
      <c r="H119" s="232">
        <f>Tabela11[[#This Row],[Proposta Orçamentária 2023]]/Tabela11[[#This Row],[Dotação Atual
2022]]</f>
        <v>1.0674157303370786</v>
      </c>
      <c r="I119" s="19">
        <v>0</v>
      </c>
      <c r="J119" s="19">
        <v>90000</v>
      </c>
      <c r="K119" s="19">
        <v>0</v>
      </c>
      <c r="L119" s="121">
        <v>0</v>
      </c>
      <c r="M119" s="19">
        <v>0</v>
      </c>
      <c r="N119" s="19">
        <v>0</v>
      </c>
      <c r="O119" s="121">
        <v>0</v>
      </c>
      <c r="P119" s="19">
        <v>0</v>
      </c>
      <c r="Q119" s="19">
        <v>0</v>
      </c>
      <c r="R119" s="19">
        <v>0</v>
      </c>
      <c r="S119" s="10">
        <v>5000</v>
      </c>
    </row>
    <row r="120" spans="1:20" ht="12.75" x14ac:dyDescent="0.25">
      <c r="A120" s="193" t="s">
        <v>348</v>
      </c>
      <c r="B120" s="24" t="s">
        <v>770</v>
      </c>
      <c r="C120" s="69">
        <v>20000</v>
      </c>
      <c r="D120" s="12">
        <v>1054.82</v>
      </c>
      <c r="E120" s="244">
        <f t="shared" si="36"/>
        <v>5.2740999999999996E-2</v>
      </c>
      <c r="F120" s="163">
        <f>SUM(Tabela11[[#This Row],[GOVERNANÇA
Direção e Liderança]:[GESTÃO
Infraestrutura
]])</f>
        <v>20000</v>
      </c>
      <c r="G120" s="224">
        <f t="shared" si="35"/>
        <v>6.5789473684210525E-5</v>
      </c>
      <c r="H120" s="232">
        <f>Tabela11[[#This Row],[Proposta Orçamentária 2023]]/Tabela11[[#This Row],[Dotação Atual
2022]]</f>
        <v>1</v>
      </c>
      <c r="I120" s="19">
        <v>0</v>
      </c>
      <c r="J120" s="19">
        <v>0</v>
      </c>
      <c r="K120" s="19">
        <v>0</v>
      </c>
      <c r="L120" s="121">
        <v>20000</v>
      </c>
      <c r="M120" s="19">
        <v>0</v>
      </c>
      <c r="N120" s="19">
        <v>0</v>
      </c>
      <c r="O120" s="121">
        <v>0</v>
      </c>
      <c r="P120" s="19">
        <v>0</v>
      </c>
      <c r="Q120" s="19">
        <v>0</v>
      </c>
      <c r="R120" s="19">
        <v>0</v>
      </c>
      <c r="S120" s="10">
        <v>0</v>
      </c>
    </row>
    <row r="121" spans="1:20" s="5" customFormat="1" ht="12.75" x14ac:dyDescent="0.25">
      <c r="A121" s="192" t="s">
        <v>243</v>
      </c>
      <c r="B121" s="23" t="s">
        <v>244</v>
      </c>
      <c r="C121" s="68">
        <f>SUM(C122:C125)</f>
        <v>5079300</v>
      </c>
      <c r="D121" s="11">
        <f>SUM(D122:D125)</f>
        <v>736840.39</v>
      </c>
      <c r="E121" s="243">
        <f t="shared" si="36"/>
        <v>0.14506731045616522</v>
      </c>
      <c r="F121" s="162">
        <f>SUM(Tabela11[[#This Row],[GOVERNANÇA
Direção e Liderança]:[GESTÃO
Infraestrutura
]])</f>
        <v>3370000</v>
      </c>
      <c r="G121" s="223">
        <f t="shared" si="35"/>
        <v>1.1085526315789474E-2</v>
      </c>
      <c r="H121" s="231">
        <f>Tabela11[[#This Row],[Proposta Orçamentária 2023]]/Tabela11[[#This Row],[Dotação Atual
2022]]</f>
        <v>0.66347725080227593</v>
      </c>
      <c r="I121" s="20">
        <f t="shared" ref="I121:S121" si="40">SUM(I122:I125)</f>
        <v>0</v>
      </c>
      <c r="J121" s="20">
        <f t="shared" ref="J121" si="41">SUM(J122:J125)</f>
        <v>0</v>
      </c>
      <c r="K121" s="20">
        <f t="shared" si="40"/>
        <v>0</v>
      </c>
      <c r="L121" s="119">
        <f t="shared" si="40"/>
        <v>1850000</v>
      </c>
      <c r="M121" s="20">
        <f t="shared" si="40"/>
        <v>0</v>
      </c>
      <c r="N121" s="20">
        <f t="shared" si="40"/>
        <v>0</v>
      </c>
      <c r="O121" s="119">
        <f t="shared" si="40"/>
        <v>0</v>
      </c>
      <c r="P121" s="20">
        <f t="shared" si="40"/>
        <v>0</v>
      </c>
      <c r="Q121" s="20">
        <f t="shared" si="40"/>
        <v>1500000</v>
      </c>
      <c r="R121" s="20">
        <f t="shared" si="40"/>
        <v>0</v>
      </c>
      <c r="S121" s="7">
        <f t="shared" si="40"/>
        <v>20000</v>
      </c>
    </row>
    <row r="122" spans="1:20" ht="12.75" x14ac:dyDescent="0.25">
      <c r="A122" s="193" t="s">
        <v>245</v>
      </c>
      <c r="B122" s="24" t="s">
        <v>771</v>
      </c>
      <c r="C122" s="69">
        <v>2510000</v>
      </c>
      <c r="D122" s="12">
        <v>30822.91</v>
      </c>
      <c r="E122" s="245">
        <f t="shared" si="36"/>
        <v>1.2280043824701195E-2</v>
      </c>
      <c r="F122" s="163">
        <f>SUM(Tabela11[[#This Row],[GOVERNANÇA
Direção e Liderança]:[GESTÃO
Infraestrutura
]])</f>
        <v>1850000</v>
      </c>
      <c r="G122" s="224">
        <f t="shared" si="35"/>
        <v>6.0855263157894735E-3</v>
      </c>
      <c r="H122" s="233">
        <f>Tabela11[[#This Row],[Proposta Orçamentária 2023]]/Tabela11[[#This Row],[Dotação Atual
2022]]</f>
        <v>0.73705179282868527</v>
      </c>
      <c r="I122" s="19">
        <v>0</v>
      </c>
      <c r="J122" s="19">
        <v>0</v>
      </c>
      <c r="K122" s="19">
        <v>0</v>
      </c>
      <c r="L122" s="121">
        <v>1850000</v>
      </c>
      <c r="M122" s="19">
        <v>0</v>
      </c>
      <c r="N122" s="19">
        <v>0</v>
      </c>
      <c r="O122" s="121">
        <v>0</v>
      </c>
      <c r="P122" s="19">
        <v>0</v>
      </c>
      <c r="Q122" s="19">
        <v>0</v>
      </c>
      <c r="R122" s="19">
        <v>0</v>
      </c>
      <c r="S122" s="10">
        <v>0</v>
      </c>
    </row>
    <row r="123" spans="1:20" ht="12.75" x14ac:dyDescent="0.25">
      <c r="A123" s="193" t="s">
        <v>246</v>
      </c>
      <c r="B123" s="24" t="s">
        <v>772</v>
      </c>
      <c r="C123" s="69">
        <v>2550300</v>
      </c>
      <c r="D123" s="12">
        <v>699098.39</v>
      </c>
      <c r="E123" s="245">
        <f t="shared" si="36"/>
        <v>0.27412398149237344</v>
      </c>
      <c r="F123" s="163">
        <f>SUM(Tabela11[[#This Row],[GOVERNANÇA
Direção e Liderança]:[GESTÃO
Infraestrutura
]])</f>
        <v>1500000</v>
      </c>
      <c r="G123" s="224">
        <f t="shared" si="35"/>
        <v>4.9342105263157892E-3</v>
      </c>
      <c r="H123" s="233">
        <f>Tabela11[[#This Row],[Proposta Orçamentária 2023]]/Tabela11[[#This Row],[Dotação Atual
2022]]</f>
        <v>0.58816609810610521</v>
      </c>
      <c r="I123" s="19">
        <v>0</v>
      </c>
      <c r="J123" s="19">
        <v>0</v>
      </c>
      <c r="K123" s="19">
        <v>0</v>
      </c>
      <c r="L123" s="121">
        <v>0</v>
      </c>
      <c r="M123" s="19">
        <v>0</v>
      </c>
      <c r="N123" s="19">
        <v>0</v>
      </c>
      <c r="O123" s="121">
        <v>0</v>
      </c>
      <c r="P123" s="19">
        <v>0</v>
      </c>
      <c r="Q123" s="19">
        <v>1500000</v>
      </c>
      <c r="R123" s="19">
        <v>0</v>
      </c>
      <c r="S123" s="10">
        <v>0</v>
      </c>
    </row>
    <row r="124" spans="1:20" ht="12.75" x14ac:dyDescent="0.25">
      <c r="A124" s="193" t="s">
        <v>247</v>
      </c>
      <c r="B124" s="24" t="s">
        <v>773</v>
      </c>
      <c r="C124" s="69">
        <v>0</v>
      </c>
      <c r="D124" s="12">
        <v>0</v>
      </c>
      <c r="E124" s="245" t="e">
        <f t="shared" si="36"/>
        <v>#DIV/0!</v>
      </c>
      <c r="F124" s="163">
        <f>SUM(Tabela11[[#This Row],[GOVERNANÇA
Direção e Liderança]:[GESTÃO
Infraestrutura
]])</f>
        <v>0</v>
      </c>
      <c r="G124" s="224">
        <f t="shared" si="35"/>
        <v>0</v>
      </c>
      <c r="H124" s="233" t="e">
        <f>Tabela11[[#This Row],[Proposta Orçamentária 2023]]/Tabela11[[#This Row],[Dotação Atual
2022]]</f>
        <v>#DIV/0!</v>
      </c>
      <c r="I124" s="19">
        <v>0</v>
      </c>
      <c r="J124" s="19">
        <v>0</v>
      </c>
      <c r="K124" s="19">
        <v>0</v>
      </c>
      <c r="L124" s="121">
        <v>0</v>
      </c>
      <c r="M124" s="19">
        <v>0</v>
      </c>
      <c r="N124" s="19">
        <v>0</v>
      </c>
      <c r="O124" s="121">
        <v>0</v>
      </c>
      <c r="P124" s="19">
        <v>0</v>
      </c>
      <c r="Q124" s="19">
        <v>0</v>
      </c>
      <c r="R124" s="19">
        <v>0</v>
      </c>
      <c r="S124" s="10">
        <v>0</v>
      </c>
    </row>
    <row r="125" spans="1:20" ht="12.75" x14ac:dyDescent="0.25">
      <c r="A125" s="193" t="s">
        <v>248</v>
      </c>
      <c r="B125" s="24" t="s">
        <v>774</v>
      </c>
      <c r="C125" s="69">
        <v>19000</v>
      </c>
      <c r="D125" s="12">
        <v>6919.09</v>
      </c>
      <c r="E125" s="245">
        <f t="shared" si="36"/>
        <v>0.36416263157894735</v>
      </c>
      <c r="F125" s="163">
        <f>SUM(Tabela11[[#This Row],[GOVERNANÇA
Direção e Liderança]:[GESTÃO
Infraestrutura
]])</f>
        <v>20000</v>
      </c>
      <c r="G125" s="224">
        <f t="shared" si="35"/>
        <v>6.5789473684210525E-5</v>
      </c>
      <c r="H125" s="233">
        <f>Tabela11[[#This Row],[Proposta Orçamentária 2023]]/Tabela11[[#This Row],[Dotação Atual
2022]]</f>
        <v>1.0526315789473684</v>
      </c>
      <c r="I125" s="19">
        <v>0</v>
      </c>
      <c r="J125" s="19">
        <v>0</v>
      </c>
      <c r="K125" s="19">
        <v>0</v>
      </c>
      <c r="L125" s="121">
        <v>0</v>
      </c>
      <c r="M125" s="19">
        <v>0</v>
      </c>
      <c r="N125" s="19">
        <v>0</v>
      </c>
      <c r="O125" s="121">
        <v>0</v>
      </c>
      <c r="P125" s="19">
        <v>0</v>
      </c>
      <c r="Q125" s="19">
        <v>0</v>
      </c>
      <c r="R125" s="19">
        <v>0</v>
      </c>
      <c r="S125" s="10">
        <v>20000</v>
      </c>
    </row>
    <row r="126" spans="1:20" s="5" customFormat="1" ht="12.75" x14ac:dyDescent="0.25">
      <c r="A126" s="192" t="s">
        <v>270</v>
      </c>
      <c r="B126" s="23" t="s">
        <v>271</v>
      </c>
      <c r="C126" s="68">
        <f>SUM(C127:C128)</f>
        <v>860000</v>
      </c>
      <c r="D126" s="11">
        <f>SUM(D127:D128)</f>
        <v>350213.9</v>
      </c>
      <c r="E126" s="242">
        <f t="shared" si="36"/>
        <v>0.40722546511627911</v>
      </c>
      <c r="F126" s="162">
        <f>SUM(Tabela11[[#This Row],[GOVERNANÇA
Direção e Liderança]:[GESTÃO
Infraestrutura
]])</f>
        <v>955000</v>
      </c>
      <c r="G126" s="223">
        <f t="shared" si="35"/>
        <v>3.1414473684210527E-3</v>
      </c>
      <c r="H126" s="230">
        <f>Tabela11[[#This Row],[Proposta Orçamentária 2023]]/Tabela11[[#This Row],[Dotação Atual
2022]]</f>
        <v>1.1104651162790697</v>
      </c>
      <c r="I126" s="20">
        <f>SUM(I127:I128)</f>
        <v>0</v>
      </c>
      <c r="J126" s="20">
        <f t="shared" ref="J126" si="42">SUM(J127:J128)</f>
        <v>5000</v>
      </c>
      <c r="K126" s="20">
        <f t="shared" ref="K126:S126" si="43">SUM(K127:K128)</f>
        <v>0</v>
      </c>
      <c r="L126" s="119">
        <f t="shared" si="43"/>
        <v>0</v>
      </c>
      <c r="M126" s="20">
        <f t="shared" si="43"/>
        <v>0</v>
      </c>
      <c r="N126" s="20">
        <f t="shared" si="43"/>
        <v>0</v>
      </c>
      <c r="O126" s="119">
        <f t="shared" si="43"/>
        <v>0</v>
      </c>
      <c r="P126" s="20">
        <f t="shared" si="43"/>
        <v>0</v>
      </c>
      <c r="Q126" s="20">
        <f t="shared" si="43"/>
        <v>950000</v>
      </c>
      <c r="R126" s="20">
        <f t="shared" si="43"/>
        <v>0</v>
      </c>
      <c r="S126" s="7">
        <f t="shared" si="43"/>
        <v>0</v>
      </c>
    </row>
    <row r="127" spans="1:20" ht="12.75" x14ac:dyDescent="0.25">
      <c r="A127" s="193" t="s">
        <v>272</v>
      </c>
      <c r="B127" s="24" t="s">
        <v>775</v>
      </c>
      <c r="C127" s="69">
        <v>10000</v>
      </c>
      <c r="D127" s="12">
        <v>1808.2</v>
      </c>
      <c r="E127" s="245">
        <f t="shared" si="36"/>
        <v>0.18082000000000001</v>
      </c>
      <c r="F127" s="163">
        <f>SUM(Tabela11[[#This Row],[GOVERNANÇA
Direção e Liderança]:[GESTÃO
Infraestrutura
]])</f>
        <v>105000</v>
      </c>
      <c r="G127" s="224">
        <f t="shared" si="35"/>
        <v>3.4539473684210524E-4</v>
      </c>
      <c r="H127" s="233">
        <f>Tabela11[[#This Row],[Proposta Orçamentária 2023]]/Tabela11[[#This Row],[Dotação Atual
2022]]</f>
        <v>10.5</v>
      </c>
      <c r="I127" s="19">
        <v>0</v>
      </c>
      <c r="J127" s="19">
        <v>5000</v>
      </c>
      <c r="K127" s="19">
        <v>0</v>
      </c>
      <c r="L127" s="121">
        <v>0</v>
      </c>
      <c r="M127" s="19">
        <v>0</v>
      </c>
      <c r="N127" s="19">
        <v>0</v>
      </c>
      <c r="O127" s="121">
        <v>0</v>
      </c>
      <c r="P127" s="19">
        <v>0</v>
      </c>
      <c r="Q127" s="19">
        <v>100000</v>
      </c>
      <c r="R127" s="19">
        <v>0</v>
      </c>
      <c r="S127" s="10">
        <v>0</v>
      </c>
    </row>
    <row r="128" spans="1:20" ht="12.75" x14ac:dyDescent="0.25">
      <c r="A128" s="193" t="s">
        <v>273</v>
      </c>
      <c r="B128" s="24" t="s">
        <v>776</v>
      </c>
      <c r="C128" s="69">
        <v>850000</v>
      </c>
      <c r="D128" s="12">
        <v>348405.7</v>
      </c>
      <c r="E128" s="244">
        <v>0</v>
      </c>
      <c r="F128" s="163">
        <f>SUM(Tabela11[[#This Row],[GOVERNANÇA
Direção e Liderança]:[GESTÃO
Infraestrutura
]])</f>
        <v>850000</v>
      </c>
      <c r="G128" s="224">
        <f t="shared" si="35"/>
        <v>2.7960526315789474E-3</v>
      </c>
      <c r="H128" s="232">
        <f>Tabela11[[#This Row],[Proposta Orçamentária 2023]]/Tabela11[[#This Row],[Dotação Atual
2022]]</f>
        <v>1</v>
      </c>
      <c r="I128" s="19">
        <v>0</v>
      </c>
      <c r="J128" s="19">
        <v>0</v>
      </c>
      <c r="K128" s="19">
        <v>0</v>
      </c>
      <c r="L128" s="121">
        <v>0</v>
      </c>
      <c r="M128" s="19">
        <v>0</v>
      </c>
      <c r="N128" s="19">
        <v>0</v>
      </c>
      <c r="O128" s="121">
        <v>0</v>
      </c>
      <c r="P128" s="19">
        <v>0</v>
      </c>
      <c r="Q128" s="19">
        <v>850000</v>
      </c>
      <c r="R128" s="19">
        <v>0</v>
      </c>
      <c r="S128" s="10">
        <v>0</v>
      </c>
    </row>
    <row r="129" spans="1:19" s="5" customFormat="1" ht="12.75" x14ac:dyDescent="0.25">
      <c r="A129" s="192" t="s">
        <v>274</v>
      </c>
      <c r="B129" s="23" t="s">
        <v>275</v>
      </c>
      <c r="C129" s="68">
        <f>+C130</f>
        <v>48501852.689999998</v>
      </c>
      <c r="D129" s="11">
        <f>+D130</f>
        <v>1587618.6800000002</v>
      </c>
      <c r="E129" s="243">
        <f t="shared" si="36"/>
        <v>3.273315537340972E-2</v>
      </c>
      <c r="F129" s="162">
        <f>SUM(Tabela11[[#This Row],[GOVERNANÇA
Direção e Liderança]:[GESTÃO
Infraestrutura
]])</f>
        <v>18510000</v>
      </c>
      <c r="G129" s="223">
        <f t="shared" si="35"/>
        <v>6.0888157894736845E-2</v>
      </c>
      <c r="H129" s="231">
        <f>Tabela11[[#This Row],[Proposta Orçamentária 2023]]/Tabela11[[#This Row],[Dotação Atual
2022]]</f>
        <v>0.38163490616135476</v>
      </c>
      <c r="I129" s="20">
        <f>+I130</f>
        <v>0</v>
      </c>
      <c r="J129" s="20">
        <f t="shared" ref="J129:S129" si="44">+J130</f>
        <v>5000000</v>
      </c>
      <c r="K129" s="20">
        <f t="shared" si="44"/>
        <v>13510000</v>
      </c>
      <c r="L129" s="119">
        <f t="shared" si="44"/>
        <v>0</v>
      </c>
      <c r="M129" s="20">
        <f t="shared" si="44"/>
        <v>0</v>
      </c>
      <c r="N129" s="20">
        <f t="shared" si="44"/>
        <v>0</v>
      </c>
      <c r="O129" s="119">
        <f t="shared" si="44"/>
        <v>0</v>
      </c>
      <c r="P129" s="20">
        <f t="shared" si="44"/>
        <v>0</v>
      </c>
      <c r="Q129" s="20">
        <f t="shared" si="44"/>
        <v>0</v>
      </c>
      <c r="R129" s="20">
        <f t="shared" si="44"/>
        <v>0</v>
      </c>
      <c r="S129" s="7">
        <f t="shared" si="44"/>
        <v>0</v>
      </c>
    </row>
    <row r="130" spans="1:19" ht="12.75" x14ac:dyDescent="0.25">
      <c r="A130" s="192" t="s">
        <v>276</v>
      </c>
      <c r="B130" s="23" t="s">
        <v>277</v>
      </c>
      <c r="C130" s="68">
        <f>SUM(C131:C137)</f>
        <v>48501852.689999998</v>
      </c>
      <c r="D130" s="11">
        <f>SUM(D131:D137)</f>
        <v>1587618.6800000002</v>
      </c>
      <c r="E130" s="243">
        <f t="shared" si="36"/>
        <v>3.273315537340972E-2</v>
      </c>
      <c r="F130" s="162">
        <f>SUM(Tabela11[[#This Row],[GOVERNANÇA
Direção e Liderança]:[GESTÃO
Infraestrutura
]])</f>
        <v>18510000</v>
      </c>
      <c r="G130" s="223">
        <f t="shared" si="35"/>
        <v>6.0888157894736845E-2</v>
      </c>
      <c r="H130" s="231">
        <f>Tabela11[[#This Row],[Proposta Orçamentária 2023]]/Tabela11[[#This Row],[Dotação Atual
2022]]</f>
        <v>0.38163490616135476</v>
      </c>
      <c r="I130" s="20">
        <f t="shared" ref="I130:S130" si="45">SUM(I131:I137)</f>
        <v>0</v>
      </c>
      <c r="J130" s="20">
        <f t="shared" ref="J130" si="46">SUM(J131:J137)</f>
        <v>5000000</v>
      </c>
      <c r="K130" s="20">
        <f t="shared" si="45"/>
        <v>13510000</v>
      </c>
      <c r="L130" s="119">
        <f t="shared" si="45"/>
        <v>0</v>
      </c>
      <c r="M130" s="20">
        <f t="shared" si="45"/>
        <v>0</v>
      </c>
      <c r="N130" s="20">
        <f t="shared" si="45"/>
        <v>0</v>
      </c>
      <c r="O130" s="119">
        <f t="shared" si="45"/>
        <v>0</v>
      </c>
      <c r="P130" s="20">
        <f t="shared" si="45"/>
        <v>0</v>
      </c>
      <c r="Q130" s="20">
        <f t="shared" si="45"/>
        <v>0</v>
      </c>
      <c r="R130" s="20">
        <f t="shared" si="45"/>
        <v>0</v>
      </c>
      <c r="S130" s="7">
        <f t="shared" si="45"/>
        <v>0</v>
      </c>
    </row>
    <row r="131" spans="1:19" ht="12.75" x14ac:dyDescent="0.25">
      <c r="A131" s="193" t="s">
        <v>278</v>
      </c>
      <c r="B131" s="24" t="s">
        <v>777</v>
      </c>
      <c r="C131" s="92">
        <v>14581852.689999999</v>
      </c>
      <c r="D131" s="19">
        <v>676808.67</v>
      </c>
      <c r="E131" s="244">
        <f t="shared" si="36"/>
        <v>4.64144498225623E-2</v>
      </c>
      <c r="F131" s="163">
        <f>SUM(Tabela11[[#This Row],[GOVERNANÇA
Direção e Liderança]:[GESTÃO
Infraestrutura
]])</f>
        <v>13510000</v>
      </c>
      <c r="G131" s="224">
        <f t="shared" si="35"/>
        <v>4.4440789473684211E-2</v>
      </c>
      <c r="H131" s="232">
        <f>Tabela11[[#This Row],[Proposta Orçamentária 2023]]/Tabela11[[#This Row],[Dotação Atual
2022]]</f>
        <v>0.926494066783773</v>
      </c>
      <c r="I131" s="19">
        <v>0</v>
      </c>
      <c r="J131" s="19">
        <v>0</v>
      </c>
      <c r="K131" s="19">
        <v>13510000</v>
      </c>
      <c r="L131" s="121">
        <v>0</v>
      </c>
      <c r="M131" s="19">
        <v>0</v>
      </c>
      <c r="N131" s="19">
        <v>0</v>
      </c>
      <c r="O131" s="121">
        <v>0</v>
      </c>
      <c r="P131" s="19">
        <v>0</v>
      </c>
      <c r="Q131" s="19">
        <v>0</v>
      </c>
      <c r="R131" s="19">
        <v>0</v>
      </c>
      <c r="S131" s="10">
        <v>0</v>
      </c>
    </row>
    <row r="132" spans="1:19" ht="12.75" x14ac:dyDescent="0.25">
      <c r="A132" s="45" t="s">
        <v>566</v>
      </c>
      <c r="B132" s="71" t="s">
        <v>779</v>
      </c>
      <c r="C132" s="92">
        <v>1800000</v>
      </c>
      <c r="D132" s="19">
        <v>0</v>
      </c>
      <c r="E132" s="245">
        <f t="shared" si="36"/>
        <v>0</v>
      </c>
      <c r="F132" s="165">
        <f>SUM(Tabela11[[#This Row],[GOVERNANÇA
Direção e Liderança]:[GESTÃO
Infraestrutura
]])</f>
        <v>0</v>
      </c>
      <c r="G132" s="225">
        <f t="shared" si="35"/>
        <v>0</v>
      </c>
      <c r="H132" s="233">
        <f>Tabela11[[#This Row],[Proposta Orçamentária 2023]]/Tabela11[[#This Row],[Dotação Atual
2022]]</f>
        <v>0</v>
      </c>
      <c r="I132" s="19">
        <v>0</v>
      </c>
      <c r="J132" s="19">
        <v>0</v>
      </c>
      <c r="K132" s="19">
        <v>0</v>
      </c>
      <c r="L132" s="121">
        <v>0</v>
      </c>
      <c r="M132" s="19">
        <v>0</v>
      </c>
      <c r="N132" s="19">
        <v>0</v>
      </c>
      <c r="O132" s="121">
        <v>0</v>
      </c>
      <c r="P132" s="19">
        <v>0</v>
      </c>
      <c r="Q132" s="19">
        <v>0</v>
      </c>
      <c r="R132" s="19">
        <v>0</v>
      </c>
      <c r="S132" s="10">
        <v>0</v>
      </c>
    </row>
    <row r="133" spans="1:19" ht="12.75" x14ac:dyDescent="0.25">
      <c r="A133" s="45" t="s">
        <v>778</v>
      </c>
      <c r="B133" s="71" t="s">
        <v>780</v>
      </c>
      <c r="C133" s="92">
        <v>0</v>
      </c>
      <c r="D133" s="19">
        <v>0</v>
      </c>
      <c r="E133" s="245">
        <v>0</v>
      </c>
      <c r="F133" s="165">
        <f>SUM(Tabela11[[#This Row],[GOVERNANÇA
Direção e Liderança]:[GESTÃO
Infraestrutura
]])</f>
        <v>0</v>
      </c>
      <c r="G133" s="225">
        <f t="shared" si="35"/>
        <v>0</v>
      </c>
      <c r="H133" s="233" t="e">
        <f>Tabela11[[#This Row],[Proposta Orçamentária 2023]]/Tabela11[[#This Row],[Dotação Atual
2022]]</f>
        <v>#DIV/0!</v>
      </c>
      <c r="I133" s="19">
        <v>0</v>
      </c>
      <c r="J133" s="19">
        <v>0</v>
      </c>
      <c r="K133" s="19">
        <v>0</v>
      </c>
      <c r="L133" s="121">
        <v>0</v>
      </c>
      <c r="M133" s="19">
        <v>0</v>
      </c>
      <c r="N133" s="19">
        <v>0</v>
      </c>
      <c r="O133" s="121">
        <v>0</v>
      </c>
      <c r="P133" s="19">
        <v>0</v>
      </c>
      <c r="Q133" s="19">
        <v>0</v>
      </c>
      <c r="R133" s="19">
        <v>0</v>
      </c>
      <c r="S133" s="10">
        <v>0</v>
      </c>
    </row>
    <row r="134" spans="1:19" ht="12.75" x14ac:dyDescent="0.25">
      <c r="A134" s="45" t="s">
        <v>567</v>
      </c>
      <c r="B134" s="71" t="s">
        <v>781</v>
      </c>
      <c r="C134" s="92">
        <v>4800000</v>
      </c>
      <c r="D134" s="19">
        <v>0</v>
      </c>
      <c r="E134" s="245">
        <v>0</v>
      </c>
      <c r="F134" s="165">
        <f>SUM(Tabela11[[#This Row],[GOVERNANÇA
Direção e Liderança]:[GESTÃO
Infraestrutura
]])</f>
        <v>5000000</v>
      </c>
      <c r="G134" s="225">
        <f t="shared" si="35"/>
        <v>1.6447368421052631E-2</v>
      </c>
      <c r="H134" s="233">
        <f>Tabela11[[#This Row],[Proposta Orçamentária 2023]]/Tabela11[[#This Row],[Dotação Atual
2022]]</f>
        <v>1.0416666666666667</v>
      </c>
      <c r="I134" s="19">
        <v>0</v>
      </c>
      <c r="J134" s="19">
        <v>5000000</v>
      </c>
      <c r="K134" s="19">
        <v>0</v>
      </c>
      <c r="L134" s="121">
        <v>0</v>
      </c>
      <c r="M134" s="19">
        <v>0</v>
      </c>
      <c r="N134" s="19">
        <v>0</v>
      </c>
      <c r="O134" s="121">
        <v>0</v>
      </c>
      <c r="P134" s="19">
        <v>0</v>
      </c>
      <c r="Q134" s="19">
        <v>0</v>
      </c>
      <c r="R134" s="19">
        <v>0</v>
      </c>
      <c r="S134" s="10">
        <v>0</v>
      </c>
    </row>
    <row r="135" spans="1:19" ht="12.75" x14ac:dyDescent="0.25">
      <c r="A135" s="45" t="s">
        <v>568</v>
      </c>
      <c r="B135" s="71" t="s">
        <v>782</v>
      </c>
      <c r="C135" s="92">
        <v>1200000</v>
      </c>
      <c r="D135" s="19">
        <v>0</v>
      </c>
      <c r="E135" s="245">
        <v>0</v>
      </c>
      <c r="F135" s="165">
        <f>SUM(Tabela11[[#This Row],[GOVERNANÇA
Direção e Liderança]:[GESTÃO
Infraestrutura
]])</f>
        <v>0</v>
      </c>
      <c r="G135" s="225">
        <f t="shared" si="35"/>
        <v>0</v>
      </c>
      <c r="H135" s="233">
        <f>Tabela11[[#This Row],[Proposta Orçamentária 2023]]/Tabela11[[#This Row],[Dotação Atual
2022]]</f>
        <v>0</v>
      </c>
      <c r="I135" s="19">
        <v>0</v>
      </c>
      <c r="J135" s="19">
        <v>0</v>
      </c>
      <c r="K135" s="19">
        <v>0</v>
      </c>
      <c r="L135" s="121">
        <v>0</v>
      </c>
      <c r="M135" s="19">
        <v>0</v>
      </c>
      <c r="N135" s="19">
        <v>0</v>
      </c>
      <c r="O135" s="121">
        <v>0</v>
      </c>
      <c r="P135" s="19">
        <v>0</v>
      </c>
      <c r="Q135" s="19">
        <v>0</v>
      </c>
      <c r="R135" s="19">
        <v>0</v>
      </c>
      <c r="S135" s="10">
        <v>0</v>
      </c>
    </row>
    <row r="136" spans="1:19" ht="12.75" x14ac:dyDescent="0.25">
      <c r="A136" s="45" t="s">
        <v>570</v>
      </c>
      <c r="B136" s="71" t="s">
        <v>783</v>
      </c>
      <c r="C136" s="92">
        <v>2920000</v>
      </c>
      <c r="D136" s="19">
        <v>910810.01</v>
      </c>
      <c r="E136" s="245">
        <v>0</v>
      </c>
      <c r="F136" s="165">
        <f>SUM(Tabela11[[#This Row],[GOVERNANÇA
Direção e Liderança]:[GESTÃO
Infraestrutura
]])</f>
        <v>0</v>
      </c>
      <c r="G136" s="225">
        <f t="shared" si="35"/>
        <v>0</v>
      </c>
      <c r="H136" s="233">
        <f>Tabela11[[#This Row],[Proposta Orçamentária 2023]]/Tabela11[[#This Row],[Dotação Atual
2022]]</f>
        <v>0</v>
      </c>
      <c r="I136" s="19">
        <v>0</v>
      </c>
      <c r="J136" s="19">
        <v>0</v>
      </c>
      <c r="K136" s="19">
        <v>0</v>
      </c>
      <c r="L136" s="121">
        <v>0</v>
      </c>
      <c r="M136" s="19">
        <v>0</v>
      </c>
      <c r="N136" s="19">
        <v>0</v>
      </c>
      <c r="O136" s="121">
        <v>0</v>
      </c>
      <c r="P136" s="19">
        <v>0</v>
      </c>
      <c r="Q136" s="19">
        <v>0</v>
      </c>
      <c r="R136" s="19">
        <v>0</v>
      </c>
      <c r="S136" s="10">
        <v>0</v>
      </c>
    </row>
    <row r="137" spans="1:19" ht="12.75" x14ac:dyDescent="0.25">
      <c r="A137" s="45" t="s">
        <v>1355</v>
      </c>
      <c r="B137" s="71" t="s">
        <v>1356</v>
      </c>
      <c r="C137" s="92">
        <v>23200000</v>
      </c>
      <c r="D137" s="19">
        <v>0</v>
      </c>
      <c r="E137" s="245">
        <v>0</v>
      </c>
      <c r="F137" s="165">
        <f>SUM(Tabela11[[#This Row],[GOVERNANÇA
Direção e Liderança]:[GESTÃO
Infraestrutura
]])</f>
        <v>0</v>
      </c>
      <c r="G137" s="225">
        <f t="shared" si="35"/>
        <v>0</v>
      </c>
      <c r="H137" s="233">
        <f>Tabela11[[#This Row],[Proposta Orçamentária 2023]]/Tabela11[[#This Row],[Dotação Atual
2022]]</f>
        <v>0</v>
      </c>
      <c r="I137" s="19">
        <v>0</v>
      </c>
      <c r="J137" s="19">
        <v>0</v>
      </c>
      <c r="K137" s="19">
        <v>0</v>
      </c>
      <c r="L137" s="121">
        <v>0</v>
      </c>
      <c r="M137" s="19">
        <v>0</v>
      </c>
      <c r="N137" s="19">
        <v>0</v>
      </c>
      <c r="O137" s="121">
        <v>0</v>
      </c>
      <c r="P137" s="19">
        <v>0</v>
      </c>
      <c r="Q137" s="19">
        <v>0</v>
      </c>
      <c r="R137" s="19">
        <v>0</v>
      </c>
      <c r="S137" s="10">
        <v>0</v>
      </c>
    </row>
    <row r="138" spans="1:19" ht="12.75" x14ac:dyDescent="0.25">
      <c r="A138" s="192" t="s">
        <v>279</v>
      </c>
      <c r="B138" s="23" t="s">
        <v>280</v>
      </c>
      <c r="C138" s="68">
        <f>+C139</f>
        <v>0</v>
      </c>
      <c r="D138" s="11">
        <f>+D139</f>
        <v>0</v>
      </c>
      <c r="E138" s="242">
        <v>0</v>
      </c>
      <c r="F138" s="162">
        <f>SUM(Tabela11[[#This Row],[GOVERNANÇA
Direção e Liderança]:[GESTÃO
Infraestrutura
]])</f>
        <v>550000</v>
      </c>
      <c r="G138" s="223">
        <f t="shared" ref="G138:G169" si="47">+F138/$F$10</f>
        <v>1.8092105263157895E-3</v>
      </c>
      <c r="H138" s="230" t="e">
        <f>Tabela11[[#This Row],[Proposta Orçamentária 2023]]/Tabela11[[#This Row],[Dotação Atual
2022]]</f>
        <v>#DIV/0!</v>
      </c>
      <c r="I138" s="20">
        <f>+I139</f>
        <v>0</v>
      </c>
      <c r="J138" s="20">
        <f t="shared" ref="J138:S138" si="48">+J139</f>
        <v>0</v>
      </c>
      <c r="K138" s="20">
        <f t="shared" si="48"/>
        <v>0</v>
      </c>
      <c r="L138" s="119">
        <f t="shared" si="48"/>
        <v>0</v>
      </c>
      <c r="M138" s="20">
        <f t="shared" si="48"/>
        <v>0</v>
      </c>
      <c r="N138" s="20">
        <f t="shared" si="48"/>
        <v>0</v>
      </c>
      <c r="O138" s="119">
        <f t="shared" si="48"/>
        <v>0</v>
      </c>
      <c r="P138" s="20">
        <f t="shared" si="48"/>
        <v>0</v>
      </c>
      <c r="Q138" s="20">
        <f t="shared" si="48"/>
        <v>550000</v>
      </c>
      <c r="R138" s="20">
        <f t="shared" si="48"/>
        <v>0</v>
      </c>
      <c r="S138" s="7">
        <f t="shared" si="48"/>
        <v>0</v>
      </c>
    </row>
    <row r="139" spans="1:19" ht="12.75" x14ac:dyDescent="0.25">
      <c r="A139" s="193" t="s">
        <v>281</v>
      </c>
      <c r="B139" s="24" t="s">
        <v>784</v>
      </c>
      <c r="C139" s="92">
        <v>0</v>
      </c>
      <c r="D139" s="12">
        <v>0</v>
      </c>
      <c r="E139" s="245">
        <v>0</v>
      </c>
      <c r="F139" s="163">
        <f>SUM(Tabela11[[#This Row],[GOVERNANÇA
Direção e Liderança]:[GESTÃO
Infraestrutura
]])</f>
        <v>550000</v>
      </c>
      <c r="G139" s="224">
        <f t="shared" si="47"/>
        <v>1.8092105263157895E-3</v>
      </c>
      <c r="H139" s="233" t="e">
        <f>Tabela11[[#This Row],[Proposta Orçamentária 2023]]/Tabela11[[#This Row],[Dotação Atual
2022]]</f>
        <v>#DIV/0!</v>
      </c>
      <c r="I139" s="19">
        <v>0</v>
      </c>
      <c r="J139" s="19">
        <v>0</v>
      </c>
      <c r="K139" s="19">
        <v>0</v>
      </c>
      <c r="L139" s="218">
        <v>0</v>
      </c>
      <c r="M139" s="19">
        <v>0</v>
      </c>
      <c r="N139" s="97">
        <v>0</v>
      </c>
      <c r="O139" s="218">
        <v>0</v>
      </c>
      <c r="P139" s="97">
        <v>0</v>
      </c>
      <c r="Q139" s="97">
        <v>550000</v>
      </c>
      <c r="R139" s="97">
        <v>0</v>
      </c>
      <c r="S139" s="194">
        <v>0</v>
      </c>
    </row>
    <row r="140" spans="1:19" s="5" customFormat="1" ht="19.5" customHeight="1" x14ac:dyDescent="0.25">
      <c r="A140" s="44" t="s">
        <v>282</v>
      </c>
      <c r="B140" s="25" t="s">
        <v>363</v>
      </c>
      <c r="C140" s="91">
        <f>C141+C157+C169+C176</f>
        <v>19741852.689999998</v>
      </c>
      <c r="D140" s="20">
        <f>D141+D157+D169+D176</f>
        <v>12127.06</v>
      </c>
      <c r="E140" s="242">
        <f t="shared" si="36"/>
        <v>6.1428175918579403E-4</v>
      </c>
      <c r="F140" s="161">
        <f>SUM(Tabela11[[#This Row],[GOVERNANÇA
Direção e Liderança]:[GESTÃO
Infraestrutura
]])</f>
        <v>23320000</v>
      </c>
      <c r="G140" s="222">
        <f t="shared" si="47"/>
        <v>7.6710526315789479E-2</v>
      </c>
      <c r="H140" s="230">
        <f>Tabela11[[#This Row],[Proposta Orçamentária 2023]]/Tabela11[[#This Row],[Dotação Atual
2022]]</f>
        <v>1.181246783986615</v>
      </c>
      <c r="I140" s="20">
        <f t="shared" ref="I140:S140" si="49">I141+I157+I169+I176</f>
        <v>0</v>
      </c>
      <c r="J140" s="20">
        <f t="shared" ref="J140" si="50">J141+J157+J169+J176</f>
        <v>0</v>
      </c>
      <c r="K140" s="20">
        <f t="shared" si="49"/>
        <v>20265000</v>
      </c>
      <c r="L140" s="119">
        <f t="shared" si="49"/>
        <v>0</v>
      </c>
      <c r="M140" s="20">
        <f t="shared" si="49"/>
        <v>0</v>
      </c>
      <c r="N140" s="20">
        <f t="shared" si="49"/>
        <v>0</v>
      </c>
      <c r="O140" s="119">
        <f t="shared" si="49"/>
        <v>0</v>
      </c>
      <c r="P140" s="20">
        <f t="shared" si="49"/>
        <v>0</v>
      </c>
      <c r="Q140" s="20">
        <f t="shared" si="49"/>
        <v>0</v>
      </c>
      <c r="R140" s="20">
        <f t="shared" si="49"/>
        <v>1450000</v>
      </c>
      <c r="S140" s="7">
        <f t="shared" si="49"/>
        <v>1605000</v>
      </c>
    </row>
    <row r="141" spans="1:19" s="5" customFormat="1" ht="12.75" x14ac:dyDescent="0.25">
      <c r="A141" s="192" t="s">
        <v>283</v>
      </c>
      <c r="B141" s="23" t="s">
        <v>284</v>
      </c>
      <c r="C141" s="68">
        <f>C142+C145+C155</f>
        <v>3540000</v>
      </c>
      <c r="D141" s="11">
        <f>D142+D145+D155</f>
        <v>0</v>
      </c>
      <c r="E141" s="243">
        <f t="shared" si="36"/>
        <v>0</v>
      </c>
      <c r="F141" s="162">
        <f>F142+F145+F155</f>
        <v>3055000</v>
      </c>
      <c r="G141" s="223">
        <f t="shared" si="47"/>
        <v>1.0049342105263159E-2</v>
      </c>
      <c r="H141" s="231">
        <f>Tabela11[[#This Row],[Proposta Orçamentária 2023]]/Tabela11[[#This Row],[Dotação Atual
2022]]</f>
        <v>0.86299435028248583</v>
      </c>
      <c r="I141" s="20">
        <f t="shared" ref="I141:S141" si="51">I142+I145+I155</f>
        <v>0</v>
      </c>
      <c r="J141" s="20">
        <f t="shared" ref="J141" si="52">J142+J145+J155</f>
        <v>0</v>
      </c>
      <c r="K141" s="20">
        <f t="shared" si="51"/>
        <v>0</v>
      </c>
      <c r="L141" s="119">
        <f t="shared" si="51"/>
        <v>0</v>
      </c>
      <c r="M141" s="20">
        <f t="shared" si="51"/>
        <v>0</v>
      </c>
      <c r="N141" s="20">
        <f t="shared" si="51"/>
        <v>0</v>
      </c>
      <c r="O141" s="119">
        <f t="shared" si="51"/>
        <v>0</v>
      </c>
      <c r="P141" s="20">
        <f t="shared" si="51"/>
        <v>0</v>
      </c>
      <c r="Q141" s="20">
        <f t="shared" si="51"/>
        <v>0</v>
      </c>
      <c r="R141" s="20">
        <f t="shared" si="51"/>
        <v>1450000</v>
      </c>
      <c r="S141" s="7">
        <f t="shared" si="51"/>
        <v>1605000</v>
      </c>
    </row>
    <row r="142" spans="1:19" s="5" customFormat="1" ht="12.75" x14ac:dyDescent="0.25">
      <c r="A142" s="192" t="s">
        <v>285</v>
      </c>
      <c r="B142" s="23" t="s">
        <v>814</v>
      </c>
      <c r="C142" s="68">
        <f>SUM(C143:C144)</f>
        <v>1070000</v>
      </c>
      <c r="D142" s="11">
        <f>SUM(D143:D144)</f>
        <v>0</v>
      </c>
      <c r="E142" s="243">
        <v>0</v>
      </c>
      <c r="F142" s="162">
        <f>SUM(Tabela11[[#This Row],[GOVERNANÇA
Direção e Liderança]:[GESTÃO
Infraestrutura
]])</f>
        <v>714000</v>
      </c>
      <c r="G142" s="223">
        <f t="shared" si="47"/>
        <v>2.3486842105263158E-3</v>
      </c>
      <c r="H142" s="231">
        <f>Tabela11[[#This Row],[Proposta Orçamentária 2023]]/Tabela11[[#This Row],[Dotação Atual
2022]]</f>
        <v>0.66728971962616823</v>
      </c>
      <c r="I142" s="20">
        <f>SUM(I143:I144)</f>
        <v>0</v>
      </c>
      <c r="J142" s="20">
        <f t="shared" ref="J142" si="53">SUM(J143:J144)</f>
        <v>0</v>
      </c>
      <c r="K142" s="20">
        <f t="shared" ref="K142:S142" si="54">SUM(K143:K144)</f>
        <v>0</v>
      </c>
      <c r="L142" s="119">
        <f t="shared" si="54"/>
        <v>0</v>
      </c>
      <c r="M142" s="20">
        <f t="shared" si="54"/>
        <v>0</v>
      </c>
      <c r="N142" s="20">
        <f t="shared" si="54"/>
        <v>0</v>
      </c>
      <c r="O142" s="119">
        <f t="shared" si="54"/>
        <v>0</v>
      </c>
      <c r="P142" s="20">
        <f t="shared" si="54"/>
        <v>0</v>
      </c>
      <c r="Q142" s="20">
        <f t="shared" si="54"/>
        <v>0</v>
      </c>
      <c r="R142" s="20">
        <f t="shared" si="54"/>
        <v>0</v>
      </c>
      <c r="S142" s="7">
        <f t="shared" si="54"/>
        <v>714000</v>
      </c>
    </row>
    <row r="143" spans="1:19" ht="12.75" x14ac:dyDescent="0.25">
      <c r="A143" s="193" t="s">
        <v>286</v>
      </c>
      <c r="B143" s="24" t="s">
        <v>785</v>
      </c>
      <c r="C143" s="69">
        <v>1070000</v>
      </c>
      <c r="D143" s="12">
        <v>0</v>
      </c>
      <c r="E143" s="245">
        <v>0</v>
      </c>
      <c r="F143" s="164">
        <f>SUM(Tabela11[[#This Row],[GOVERNANÇA
Direção e Liderança]:[GESTÃO
Infraestrutura
]])</f>
        <v>714000</v>
      </c>
      <c r="G143" s="224">
        <f t="shared" si="47"/>
        <v>2.3486842105263158E-3</v>
      </c>
      <c r="H143" s="233">
        <f>Tabela11[[#This Row],[Proposta Orçamentária 2023]]/Tabela11[[#This Row],[Dotação Atual
2022]]</f>
        <v>0.66728971962616823</v>
      </c>
      <c r="I143" s="19">
        <v>0</v>
      </c>
      <c r="J143" s="19">
        <v>0</v>
      </c>
      <c r="K143" s="19">
        <v>0</v>
      </c>
      <c r="L143" s="121">
        <v>0</v>
      </c>
      <c r="M143" s="19">
        <v>0</v>
      </c>
      <c r="N143" s="19">
        <v>0</v>
      </c>
      <c r="O143" s="121">
        <v>0</v>
      </c>
      <c r="P143" s="19">
        <v>0</v>
      </c>
      <c r="Q143" s="19">
        <v>0</v>
      </c>
      <c r="R143" s="19">
        <v>0</v>
      </c>
      <c r="S143" s="10">
        <v>714000</v>
      </c>
    </row>
    <row r="144" spans="1:19" ht="12.75" x14ac:dyDescent="0.25">
      <c r="A144" s="193" t="s">
        <v>287</v>
      </c>
      <c r="B144" s="24" t="s">
        <v>786</v>
      </c>
      <c r="C144" s="69">
        <v>0</v>
      </c>
      <c r="D144" s="12">
        <v>0</v>
      </c>
      <c r="E144" s="245">
        <v>0</v>
      </c>
      <c r="F144" s="164">
        <f>SUM(Tabela11[[#This Row],[GOVERNANÇA
Direção e Liderança]:[GESTÃO
Infraestrutura
]])</f>
        <v>0</v>
      </c>
      <c r="G144" s="224">
        <f t="shared" si="47"/>
        <v>0</v>
      </c>
      <c r="H144" s="233" t="e">
        <f>Tabela11[[#This Row],[Proposta Orçamentária 2023]]/Tabela11[[#This Row],[Dotação Atual
2022]]</f>
        <v>#DIV/0!</v>
      </c>
      <c r="I144" s="19">
        <v>0</v>
      </c>
      <c r="J144" s="19">
        <v>0</v>
      </c>
      <c r="K144" s="19">
        <v>0</v>
      </c>
      <c r="L144" s="121">
        <v>0</v>
      </c>
      <c r="M144" s="19">
        <v>0</v>
      </c>
      <c r="N144" s="19">
        <v>0</v>
      </c>
      <c r="O144" s="121">
        <v>0</v>
      </c>
      <c r="P144" s="19">
        <v>0</v>
      </c>
      <c r="Q144" s="19">
        <v>0</v>
      </c>
      <c r="R144" s="19">
        <v>0</v>
      </c>
      <c r="S144" s="10">
        <v>0</v>
      </c>
    </row>
    <row r="145" spans="1:19" s="5" customFormat="1" ht="12.75" x14ac:dyDescent="0.25">
      <c r="A145" s="192" t="s">
        <v>289</v>
      </c>
      <c r="B145" s="23" t="s">
        <v>290</v>
      </c>
      <c r="C145" s="68">
        <f>SUM(C146:C154)</f>
        <v>2470000</v>
      </c>
      <c r="D145" s="11">
        <f>SUM(D146:D154)</f>
        <v>0</v>
      </c>
      <c r="E145" s="243">
        <v>0</v>
      </c>
      <c r="F145" s="162">
        <f>SUM(Tabela11[[#This Row],[GOVERNANÇA
Direção e Liderança]:[GESTÃO
Infraestrutura
]])</f>
        <v>2341000</v>
      </c>
      <c r="G145" s="223">
        <f t="shared" si="47"/>
        <v>7.7006578947368424E-3</v>
      </c>
      <c r="H145" s="231">
        <f>Tabela11[[#This Row],[Proposta Orçamentária 2023]]/Tabela11[[#This Row],[Dotação Atual
2022]]</f>
        <v>0.94777327935222677</v>
      </c>
      <c r="I145" s="20">
        <f t="shared" ref="I145:S145" si="55">SUM(I146:I154)</f>
        <v>0</v>
      </c>
      <c r="J145" s="20">
        <f t="shared" ref="J145" si="56">SUM(J146:J154)</f>
        <v>0</v>
      </c>
      <c r="K145" s="20">
        <f t="shared" si="55"/>
        <v>0</v>
      </c>
      <c r="L145" s="119">
        <f t="shared" si="55"/>
        <v>0</v>
      </c>
      <c r="M145" s="20">
        <f t="shared" si="55"/>
        <v>0</v>
      </c>
      <c r="N145" s="20">
        <f t="shared" si="55"/>
        <v>0</v>
      </c>
      <c r="O145" s="119">
        <f t="shared" si="55"/>
        <v>0</v>
      </c>
      <c r="P145" s="20">
        <f t="shared" si="55"/>
        <v>0</v>
      </c>
      <c r="Q145" s="20">
        <f t="shared" si="55"/>
        <v>0</v>
      </c>
      <c r="R145" s="20">
        <f t="shared" si="55"/>
        <v>1450000</v>
      </c>
      <c r="S145" s="7">
        <f t="shared" si="55"/>
        <v>891000</v>
      </c>
    </row>
    <row r="146" spans="1:19" ht="12.75" x14ac:dyDescent="0.25">
      <c r="A146" s="193" t="s">
        <v>291</v>
      </c>
      <c r="B146" s="24" t="s">
        <v>787</v>
      </c>
      <c r="C146" s="69">
        <v>0</v>
      </c>
      <c r="D146" s="12">
        <v>0</v>
      </c>
      <c r="E146" s="244">
        <v>0</v>
      </c>
      <c r="F146" s="163">
        <f>SUM(Tabela11[[#This Row],[GOVERNANÇA
Direção e Liderança]:[GESTÃO
Infraestrutura
]])</f>
        <v>0</v>
      </c>
      <c r="G146" s="224">
        <f t="shared" si="47"/>
        <v>0</v>
      </c>
      <c r="H146" s="232" t="e">
        <f>Tabela11[[#This Row],[Proposta Orçamentária 2023]]/Tabela11[[#This Row],[Dotação Atual
2022]]</f>
        <v>#DIV/0!</v>
      </c>
      <c r="I146" s="19">
        <v>0</v>
      </c>
      <c r="J146" s="19">
        <v>0</v>
      </c>
      <c r="K146" s="19">
        <v>0</v>
      </c>
      <c r="L146" s="121">
        <v>0</v>
      </c>
      <c r="M146" s="19">
        <v>0</v>
      </c>
      <c r="N146" s="19">
        <v>0</v>
      </c>
      <c r="O146" s="121">
        <v>0</v>
      </c>
      <c r="P146" s="19">
        <v>0</v>
      </c>
      <c r="Q146" s="19">
        <v>0</v>
      </c>
      <c r="R146" s="19">
        <v>0</v>
      </c>
      <c r="S146" s="10">
        <v>0</v>
      </c>
    </row>
    <row r="147" spans="1:19" ht="12.75" x14ac:dyDescent="0.25">
      <c r="A147" s="193" t="s">
        <v>293</v>
      </c>
      <c r="B147" s="24" t="s">
        <v>788</v>
      </c>
      <c r="C147" s="69">
        <v>931000</v>
      </c>
      <c r="D147" s="12">
        <v>0</v>
      </c>
      <c r="E147" s="244">
        <v>0</v>
      </c>
      <c r="F147" s="163">
        <f>SUM(Tabela11[[#This Row],[GOVERNANÇA
Direção e Liderança]:[GESTÃO
Infraestrutura
]])</f>
        <v>890000</v>
      </c>
      <c r="G147" s="224">
        <f t="shared" si="47"/>
        <v>2.9276315789473683E-3</v>
      </c>
      <c r="H147" s="232">
        <f>Tabela11[[#This Row],[Proposta Orçamentária 2023]]/Tabela11[[#This Row],[Dotação Atual
2022]]</f>
        <v>0.95596133190118149</v>
      </c>
      <c r="I147" s="19">
        <v>0</v>
      </c>
      <c r="J147" s="19">
        <v>0</v>
      </c>
      <c r="K147" s="19">
        <v>0</v>
      </c>
      <c r="L147" s="121">
        <v>0</v>
      </c>
      <c r="M147" s="19">
        <v>0</v>
      </c>
      <c r="N147" s="19">
        <v>0</v>
      </c>
      <c r="O147" s="121">
        <v>0</v>
      </c>
      <c r="P147" s="19">
        <v>0</v>
      </c>
      <c r="Q147" s="19">
        <v>0</v>
      </c>
      <c r="R147" s="19">
        <v>0</v>
      </c>
      <c r="S147" s="10">
        <v>890000</v>
      </c>
    </row>
    <row r="148" spans="1:19" ht="12.75" x14ac:dyDescent="0.25">
      <c r="A148" s="193" t="s">
        <v>295</v>
      </c>
      <c r="B148" s="24" t="s">
        <v>789</v>
      </c>
      <c r="C148" s="69">
        <v>0</v>
      </c>
      <c r="D148" s="12">
        <v>0</v>
      </c>
      <c r="E148" s="244">
        <v>0</v>
      </c>
      <c r="F148" s="163">
        <f>SUM(Tabela11[[#This Row],[GOVERNANÇA
Direção e Liderança]:[GESTÃO
Infraestrutura
]])</f>
        <v>0</v>
      </c>
      <c r="G148" s="224">
        <f t="shared" si="47"/>
        <v>0</v>
      </c>
      <c r="H148" s="232" t="e">
        <f>Tabela11[[#This Row],[Proposta Orçamentária 2023]]/Tabela11[[#This Row],[Dotação Atual
2022]]</f>
        <v>#DIV/0!</v>
      </c>
      <c r="I148" s="19">
        <v>0</v>
      </c>
      <c r="J148" s="19">
        <v>0</v>
      </c>
      <c r="K148" s="19">
        <v>0</v>
      </c>
      <c r="L148" s="121">
        <v>0</v>
      </c>
      <c r="M148" s="19">
        <v>0</v>
      </c>
      <c r="N148" s="19">
        <v>0</v>
      </c>
      <c r="O148" s="121">
        <v>0</v>
      </c>
      <c r="P148" s="19">
        <v>0</v>
      </c>
      <c r="Q148" s="19">
        <v>0</v>
      </c>
      <c r="R148" s="19">
        <v>0</v>
      </c>
      <c r="S148" s="10">
        <v>0</v>
      </c>
    </row>
    <row r="149" spans="1:19" ht="12.75" x14ac:dyDescent="0.25">
      <c r="A149" s="193" t="s">
        <v>296</v>
      </c>
      <c r="B149" s="24" t="s">
        <v>790</v>
      </c>
      <c r="C149" s="69">
        <v>0</v>
      </c>
      <c r="D149" s="12">
        <v>0</v>
      </c>
      <c r="E149" s="244">
        <v>0</v>
      </c>
      <c r="F149" s="163">
        <f>SUM(Tabela11[[#This Row],[GOVERNANÇA
Direção e Liderança]:[GESTÃO
Infraestrutura
]])</f>
        <v>0</v>
      </c>
      <c r="G149" s="224">
        <f t="shared" si="47"/>
        <v>0</v>
      </c>
      <c r="H149" s="232" t="e">
        <f>Tabela11[[#This Row],[Proposta Orçamentária 2023]]/Tabela11[[#This Row],[Dotação Atual
2022]]</f>
        <v>#DIV/0!</v>
      </c>
      <c r="I149" s="19">
        <v>0</v>
      </c>
      <c r="J149" s="19">
        <v>0</v>
      </c>
      <c r="K149" s="19">
        <v>0</v>
      </c>
      <c r="L149" s="121">
        <v>0</v>
      </c>
      <c r="M149" s="19">
        <v>0</v>
      </c>
      <c r="N149" s="19">
        <v>0</v>
      </c>
      <c r="O149" s="121">
        <v>0</v>
      </c>
      <c r="P149" s="19">
        <v>0</v>
      </c>
      <c r="Q149" s="19">
        <v>0</v>
      </c>
      <c r="R149" s="19">
        <v>0</v>
      </c>
      <c r="S149" s="10">
        <v>0</v>
      </c>
    </row>
    <row r="150" spans="1:19" ht="12.75" x14ac:dyDescent="0.25">
      <c r="A150" s="193" t="s">
        <v>297</v>
      </c>
      <c r="B150" s="24" t="s">
        <v>791</v>
      </c>
      <c r="C150" s="69">
        <v>0</v>
      </c>
      <c r="D150" s="12">
        <v>0</v>
      </c>
      <c r="E150" s="244">
        <v>0</v>
      </c>
      <c r="F150" s="163">
        <f>SUM(Tabela11[[#This Row],[GOVERNANÇA
Direção e Liderança]:[GESTÃO
Infraestrutura
]])</f>
        <v>0</v>
      </c>
      <c r="G150" s="224">
        <f t="shared" si="47"/>
        <v>0</v>
      </c>
      <c r="H150" s="232" t="e">
        <f>Tabela11[[#This Row],[Proposta Orçamentária 2023]]/Tabela11[[#This Row],[Dotação Atual
2022]]</f>
        <v>#DIV/0!</v>
      </c>
      <c r="I150" s="19">
        <v>0</v>
      </c>
      <c r="J150" s="19">
        <v>0</v>
      </c>
      <c r="K150" s="19">
        <v>0</v>
      </c>
      <c r="L150" s="121">
        <v>0</v>
      </c>
      <c r="M150" s="19">
        <v>0</v>
      </c>
      <c r="N150" s="19">
        <v>0</v>
      </c>
      <c r="O150" s="121">
        <v>0</v>
      </c>
      <c r="P150" s="19">
        <v>0</v>
      </c>
      <c r="Q150" s="19">
        <v>0</v>
      </c>
      <c r="R150" s="19">
        <v>0</v>
      </c>
      <c r="S150" s="10">
        <v>0</v>
      </c>
    </row>
    <row r="151" spans="1:19" ht="12.75" x14ac:dyDescent="0.25">
      <c r="A151" s="193" t="s">
        <v>298</v>
      </c>
      <c r="B151" s="24" t="s">
        <v>792</v>
      </c>
      <c r="C151" s="69">
        <v>1539000</v>
      </c>
      <c r="D151" s="12">
        <v>0</v>
      </c>
      <c r="E151" s="244">
        <f t="shared" si="36"/>
        <v>0</v>
      </c>
      <c r="F151" s="163">
        <f>SUM(Tabela11[[#This Row],[GOVERNANÇA
Direção e Liderança]:[GESTÃO
Infraestrutura
]])</f>
        <v>1450000</v>
      </c>
      <c r="G151" s="224">
        <f t="shared" si="47"/>
        <v>4.7697368421052632E-3</v>
      </c>
      <c r="H151" s="232">
        <f>Tabela11[[#This Row],[Proposta Orçamentária 2023]]/Tabela11[[#This Row],[Dotação Atual
2022]]</f>
        <v>0.9421702404158544</v>
      </c>
      <c r="I151" s="19">
        <v>0</v>
      </c>
      <c r="J151" s="19">
        <v>0</v>
      </c>
      <c r="K151" s="19">
        <v>0</v>
      </c>
      <c r="L151" s="121">
        <v>0</v>
      </c>
      <c r="M151" s="19">
        <v>0</v>
      </c>
      <c r="N151" s="19">
        <v>0</v>
      </c>
      <c r="O151" s="121">
        <v>0</v>
      </c>
      <c r="P151" s="19">
        <v>0</v>
      </c>
      <c r="Q151" s="19">
        <v>0</v>
      </c>
      <c r="R151" s="19">
        <v>1450000</v>
      </c>
      <c r="S151" s="10">
        <v>0</v>
      </c>
    </row>
    <row r="152" spans="1:19" ht="12.75" x14ac:dyDescent="0.25">
      <c r="A152" s="193" t="s">
        <v>299</v>
      </c>
      <c r="B152" s="24" t="s">
        <v>793</v>
      </c>
      <c r="C152" s="69">
        <v>0</v>
      </c>
      <c r="D152" s="12">
        <v>0</v>
      </c>
      <c r="E152" s="244">
        <v>0</v>
      </c>
      <c r="F152" s="163">
        <f>SUM(Tabela11[[#This Row],[GOVERNANÇA
Direção e Liderança]:[GESTÃO
Infraestrutura
]])</f>
        <v>1000</v>
      </c>
      <c r="G152" s="224">
        <f t="shared" si="47"/>
        <v>3.2894736842105265E-6</v>
      </c>
      <c r="H152" s="232" t="e">
        <f>Tabela11[[#This Row],[Proposta Orçamentária 2023]]/Tabela11[[#This Row],[Dotação Atual
2022]]</f>
        <v>#DIV/0!</v>
      </c>
      <c r="I152" s="19">
        <v>0</v>
      </c>
      <c r="J152" s="19">
        <v>0</v>
      </c>
      <c r="K152" s="19">
        <v>0</v>
      </c>
      <c r="L152" s="121">
        <v>0</v>
      </c>
      <c r="M152" s="19">
        <v>0</v>
      </c>
      <c r="N152" s="19">
        <v>0</v>
      </c>
      <c r="O152" s="121">
        <v>0</v>
      </c>
      <c r="P152" s="19">
        <v>0</v>
      </c>
      <c r="Q152" s="19">
        <v>0</v>
      </c>
      <c r="R152" s="19">
        <v>0</v>
      </c>
      <c r="S152" s="10">
        <v>1000</v>
      </c>
    </row>
    <row r="153" spans="1:19" ht="12.75" x14ac:dyDescent="0.25">
      <c r="A153" s="193" t="s">
        <v>300</v>
      </c>
      <c r="B153" s="24" t="s">
        <v>794</v>
      </c>
      <c r="C153" s="69">
        <v>0</v>
      </c>
      <c r="D153" s="12">
        <v>0</v>
      </c>
      <c r="E153" s="244">
        <v>0</v>
      </c>
      <c r="F153" s="163">
        <f>SUM(Tabela11[[#This Row],[GOVERNANÇA
Direção e Liderança]:[GESTÃO
Infraestrutura
]])</f>
        <v>0</v>
      </c>
      <c r="G153" s="224">
        <f t="shared" si="47"/>
        <v>0</v>
      </c>
      <c r="H153" s="232" t="e">
        <f>Tabela11[[#This Row],[Proposta Orçamentária 2023]]/Tabela11[[#This Row],[Dotação Atual
2022]]</f>
        <v>#DIV/0!</v>
      </c>
      <c r="I153" s="19">
        <v>0</v>
      </c>
      <c r="J153" s="19">
        <v>0</v>
      </c>
      <c r="K153" s="19">
        <v>0</v>
      </c>
      <c r="L153" s="121">
        <v>0</v>
      </c>
      <c r="M153" s="19">
        <v>0</v>
      </c>
      <c r="N153" s="19">
        <v>0</v>
      </c>
      <c r="O153" s="121">
        <v>0</v>
      </c>
      <c r="P153" s="19">
        <v>0</v>
      </c>
      <c r="Q153" s="19">
        <v>0</v>
      </c>
      <c r="R153" s="19">
        <v>0</v>
      </c>
      <c r="S153" s="10">
        <v>0</v>
      </c>
    </row>
    <row r="154" spans="1:19" ht="12.75" x14ac:dyDescent="0.25">
      <c r="A154" s="193" t="s">
        <v>301</v>
      </c>
      <c r="B154" s="24" t="s">
        <v>795</v>
      </c>
      <c r="C154" s="69">
        <v>0</v>
      </c>
      <c r="D154" s="12">
        <v>0</v>
      </c>
      <c r="E154" s="244">
        <v>0</v>
      </c>
      <c r="F154" s="163">
        <f>SUM(Tabela11[[#This Row],[GOVERNANÇA
Direção e Liderança]:[GESTÃO
Infraestrutura
]])</f>
        <v>0</v>
      </c>
      <c r="G154" s="224">
        <f t="shared" si="47"/>
        <v>0</v>
      </c>
      <c r="H154" s="232" t="e">
        <f>Tabela11[[#This Row],[Proposta Orçamentária 2023]]/Tabela11[[#This Row],[Dotação Atual
2022]]</f>
        <v>#DIV/0!</v>
      </c>
      <c r="I154" s="19">
        <v>0</v>
      </c>
      <c r="J154" s="19">
        <v>0</v>
      </c>
      <c r="K154" s="19">
        <v>0</v>
      </c>
      <c r="L154" s="121">
        <v>0</v>
      </c>
      <c r="M154" s="19">
        <v>0</v>
      </c>
      <c r="N154" s="19">
        <v>0</v>
      </c>
      <c r="O154" s="121">
        <v>0</v>
      </c>
      <c r="P154" s="19">
        <v>0</v>
      </c>
      <c r="Q154" s="19">
        <v>0</v>
      </c>
      <c r="R154" s="19">
        <v>0</v>
      </c>
      <c r="S154" s="10">
        <v>0</v>
      </c>
    </row>
    <row r="155" spans="1:19" s="5" customFormat="1" ht="12.75" x14ac:dyDescent="0.25">
      <c r="A155" s="44" t="s">
        <v>303</v>
      </c>
      <c r="B155" s="25" t="s">
        <v>304</v>
      </c>
      <c r="C155" s="112">
        <f>C156</f>
        <v>0</v>
      </c>
      <c r="D155" s="20">
        <f>D156</f>
        <v>0</v>
      </c>
      <c r="E155" s="242">
        <v>0</v>
      </c>
      <c r="F155" s="161">
        <f>SUM(Tabela11[[#This Row],[GOVERNANÇA
Direção e Liderança]:[GESTÃO
Infraestrutura
]])</f>
        <v>0</v>
      </c>
      <c r="G155" s="222">
        <f t="shared" si="47"/>
        <v>0</v>
      </c>
      <c r="H155" s="230" t="e">
        <f>Tabela11[[#This Row],[Proposta Orçamentária 2023]]/Tabela11[[#This Row],[Dotação Atual
2022]]</f>
        <v>#DIV/0!</v>
      </c>
      <c r="I155" s="91">
        <f>I156</f>
        <v>0</v>
      </c>
      <c r="J155" s="19">
        <f t="shared" ref="J155:S155" si="57">J156</f>
        <v>0</v>
      </c>
      <c r="K155" s="19">
        <f t="shared" si="57"/>
        <v>0</v>
      </c>
      <c r="L155" s="119">
        <f t="shared" si="57"/>
        <v>0</v>
      </c>
      <c r="M155" s="20">
        <f t="shared" si="57"/>
        <v>0</v>
      </c>
      <c r="N155" s="20">
        <f t="shared" si="57"/>
        <v>0</v>
      </c>
      <c r="O155" s="119">
        <f t="shared" si="57"/>
        <v>0</v>
      </c>
      <c r="P155" s="20">
        <f t="shared" si="57"/>
        <v>0</v>
      </c>
      <c r="Q155" s="20">
        <f t="shared" si="57"/>
        <v>0</v>
      </c>
      <c r="R155" s="20">
        <f t="shared" si="57"/>
        <v>0</v>
      </c>
      <c r="S155" s="7">
        <f t="shared" si="57"/>
        <v>0</v>
      </c>
    </row>
    <row r="156" spans="1:19" ht="12.75" x14ac:dyDescent="0.25">
      <c r="A156" s="193" t="s">
        <v>804</v>
      </c>
      <c r="B156" s="24" t="s">
        <v>805</v>
      </c>
      <c r="C156" s="69">
        <v>0</v>
      </c>
      <c r="D156" s="12">
        <v>0</v>
      </c>
      <c r="E156" s="244">
        <v>0</v>
      </c>
      <c r="F156" s="163">
        <f>SUM(Tabela11[[#This Row],[GOVERNANÇA
Direção e Liderança]:[GESTÃO
Infraestrutura
]])</f>
        <v>0</v>
      </c>
      <c r="G156" s="224">
        <f t="shared" si="47"/>
        <v>0</v>
      </c>
      <c r="H156" s="232" t="e">
        <f>Tabela11[[#This Row],[Proposta Orçamentária 2023]]/Tabela11[[#This Row],[Dotação Atual
2022]]</f>
        <v>#DIV/0!</v>
      </c>
      <c r="I156" s="19">
        <f>'[1]TOTAL - DESPESAS'!H257</f>
        <v>0</v>
      </c>
      <c r="J156" s="19">
        <f>'[1]TOTAL - DESPESAS'!H257</f>
        <v>0</v>
      </c>
      <c r="K156" s="19">
        <f>'[1]TOTAL - DESPESAS'!I257</f>
        <v>0</v>
      </c>
      <c r="L156" s="121">
        <f>'[1]TOTAL - DESPESAS'!J257</f>
        <v>0</v>
      </c>
      <c r="M156" s="19">
        <f>'[1]TOTAL - DESPESAS'!K257</f>
        <v>0</v>
      </c>
      <c r="N156" s="19">
        <f>'[1]TOTAL - DESPESAS'!L257</f>
        <v>0</v>
      </c>
      <c r="O156" s="121">
        <f>'[1]TOTAL - DESPESAS'!M257</f>
        <v>0</v>
      </c>
      <c r="P156" s="19">
        <f>'[1]TOTAL - DESPESAS'!O257</f>
        <v>0</v>
      </c>
      <c r="Q156" s="19">
        <f>'[1]TOTAL - DESPESAS'!P257</f>
        <v>0</v>
      </c>
      <c r="R156" s="19">
        <f>'[1]TOTAL - DESPESAS'!Q257</f>
        <v>0</v>
      </c>
      <c r="S156" s="10">
        <f>'[1]TOTAL - DESPESAS'!R257</f>
        <v>0</v>
      </c>
    </row>
    <row r="157" spans="1:19" s="5" customFormat="1" ht="12.75" x14ac:dyDescent="0.25">
      <c r="A157" s="192" t="s">
        <v>305</v>
      </c>
      <c r="B157" s="23" t="s">
        <v>306</v>
      </c>
      <c r="C157" s="68">
        <f>C158+C159+C161+C165+C167</f>
        <v>0</v>
      </c>
      <c r="D157" s="11">
        <f>D158+D159+D161+D165+D167</f>
        <v>0</v>
      </c>
      <c r="E157" s="242">
        <v>0</v>
      </c>
      <c r="F157" s="162">
        <f>SUM(Tabela11[[#This Row],[GOVERNANÇA
Direção e Liderança]:[GESTÃO
Infraestrutura
]])</f>
        <v>0</v>
      </c>
      <c r="G157" s="223">
        <f t="shared" si="47"/>
        <v>0</v>
      </c>
      <c r="H157" s="230" t="e">
        <f>Tabela11[[#This Row],[Proposta Orçamentária 2023]]/Tabela11[[#This Row],[Dotação Atual
2022]]</f>
        <v>#DIV/0!</v>
      </c>
      <c r="I157" s="20">
        <f>I158+I159+I161+I165+I167</f>
        <v>0</v>
      </c>
      <c r="J157" s="20">
        <f t="shared" ref="J157" si="58">J158+J159+J161+J165+J167</f>
        <v>0</v>
      </c>
      <c r="K157" s="20">
        <f t="shared" ref="K157:S157" si="59">K158+K159+K161+K165+K167</f>
        <v>0</v>
      </c>
      <c r="L157" s="119">
        <f t="shared" si="59"/>
        <v>0</v>
      </c>
      <c r="M157" s="20">
        <f t="shared" si="59"/>
        <v>0</v>
      </c>
      <c r="N157" s="20">
        <f t="shared" si="59"/>
        <v>0</v>
      </c>
      <c r="O157" s="119">
        <f t="shared" si="59"/>
        <v>0</v>
      </c>
      <c r="P157" s="20">
        <f t="shared" si="59"/>
        <v>0</v>
      </c>
      <c r="Q157" s="20">
        <f t="shared" si="59"/>
        <v>0</v>
      </c>
      <c r="R157" s="20">
        <f t="shared" si="59"/>
        <v>0</v>
      </c>
      <c r="S157" s="7">
        <f t="shared" si="59"/>
        <v>0</v>
      </c>
    </row>
    <row r="158" spans="1:19" s="5" customFormat="1" ht="12.75" x14ac:dyDescent="0.25">
      <c r="A158" s="192" t="s">
        <v>307</v>
      </c>
      <c r="B158" s="23" t="s">
        <v>288</v>
      </c>
      <c r="C158" s="68">
        <v>0</v>
      </c>
      <c r="D158" s="11">
        <v>0</v>
      </c>
      <c r="E158" s="242">
        <v>0</v>
      </c>
      <c r="F158" s="162">
        <f>SUM(Tabela11[[#This Row],[GOVERNANÇA
Direção e Liderança]:[GESTÃO
Infraestrutura
]])</f>
        <v>0</v>
      </c>
      <c r="G158" s="223">
        <f t="shared" si="47"/>
        <v>0</v>
      </c>
      <c r="H158" s="230" t="e">
        <f>Tabela11[[#This Row],[Proposta Orçamentária 2023]]/Tabela11[[#This Row],[Dotação Atual
2022]]</f>
        <v>#DIV/0!</v>
      </c>
      <c r="I158" s="20">
        <v>0</v>
      </c>
      <c r="J158" s="20">
        <v>0</v>
      </c>
      <c r="K158" s="20">
        <v>0</v>
      </c>
      <c r="L158" s="119">
        <v>0</v>
      </c>
      <c r="M158" s="20">
        <v>0</v>
      </c>
      <c r="N158" s="20">
        <v>0</v>
      </c>
      <c r="O158" s="119">
        <v>0</v>
      </c>
      <c r="P158" s="20">
        <v>0</v>
      </c>
      <c r="Q158" s="20">
        <v>0</v>
      </c>
      <c r="R158" s="20">
        <v>0</v>
      </c>
      <c r="S158" s="7">
        <v>0</v>
      </c>
    </row>
    <row r="159" spans="1:19" s="5" customFormat="1" ht="12.75" x14ac:dyDescent="0.25">
      <c r="A159" s="192" t="s">
        <v>308</v>
      </c>
      <c r="B159" s="23" t="s">
        <v>290</v>
      </c>
      <c r="C159" s="68">
        <f>+C160</f>
        <v>0</v>
      </c>
      <c r="D159" s="11">
        <f>+D160</f>
        <v>0</v>
      </c>
      <c r="E159" s="242">
        <v>0</v>
      </c>
      <c r="F159" s="162">
        <f>SUM(Tabela11[[#This Row],[GOVERNANÇA
Direção e Liderança]:[GESTÃO
Infraestrutura
]])</f>
        <v>0</v>
      </c>
      <c r="G159" s="223">
        <f t="shared" si="47"/>
        <v>0</v>
      </c>
      <c r="H159" s="230" t="e">
        <f>Tabela11[[#This Row],[Proposta Orçamentária 2023]]/Tabela11[[#This Row],[Dotação Atual
2022]]</f>
        <v>#DIV/0!</v>
      </c>
      <c r="I159" s="20">
        <f>+I160</f>
        <v>0</v>
      </c>
      <c r="J159" s="20">
        <f t="shared" ref="J159:S159" si="60">+J160</f>
        <v>0</v>
      </c>
      <c r="K159" s="20">
        <f t="shared" si="60"/>
        <v>0</v>
      </c>
      <c r="L159" s="119">
        <f t="shared" si="60"/>
        <v>0</v>
      </c>
      <c r="M159" s="20">
        <f t="shared" si="60"/>
        <v>0</v>
      </c>
      <c r="N159" s="20">
        <f t="shared" si="60"/>
        <v>0</v>
      </c>
      <c r="O159" s="119">
        <f t="shared" si="60"/>
        <v>0</v>
      </c>
      <c r="P159" s="20">
        <f t="shared" si="60"/>
        <v>0</v>
      </c>
      <c r="Q159" s="20">
        <f t="shared" si="60"/>
        <v>0</v>
      </c>
      <c r="R159" s="20">
        <f t="shared" si="60"/>
        <v>0</v>
      </c>
      <c r="S159" s="7">
        <f t="shared" si="60"/>
        <v>0</v>
      </c>
    </row>
    <row r="160" spans="1:19" ht="12.75" x14ac:dyDescent="0.25">
      <c r="A160" s="193" t="s">
        <v>309</v>
      </c>
      <c r="B160" s="24" t="s">
        <v>803</v>
      </c>
      <c r="C160" s="70">
        <v>0</v>
      </c>
      <c r="D160" s="67">
        <v>0</v>
      </c>
      <c r="E160" s="245">
        <v>0</v>
      </c>
      <c r="F160" s="164">
        <f>SUM(Tabela11[[#This Row],[GOVERNANÇA
Direção e Liderança]:[GESTÃO
Infraestrutura
]])</f>
        <v>0</v>
      </c>
      <c r="G160" s="224">
        <f t="shared" si="47"/>
        <v>0</v>
      </c>
      <c r="H160" s="233" t="e">
        <f>Tabela11[[#This Row],[Proposta Orçamentária 2023]]/Tabela11[[#This Row],[Dotação Atual
2022]]</f>
        <v>#DIV/0!</v>
      </c>
      <c r="I160" s="19">
        <v>0</v>
      </c>
      <c r="J160" s="19">
        <v>0</v>
      </c>
      <c r="K160" s="19">
        <v>0</v>
      </c>
      <c r="L160" s="121">
        <v>0</v>
      </c>
      <c r="M160" s="19">
        <v>0</v>
      </c>
      <c r="N160" s="19">
        <v>0</v>
      </c>
      <c r="O160" s="121">
        <v>0</v>
      </c>
      <c r="P160" s="19">
        <v>0</v>
      </c>
      <c r="Q160" s="19">
        <v>0</v>
      </c>
      <c r="R160" s="19">
        <v>0</v>
      </c>
      <c r="S160" s="10">
        <v>0</v>
      </c>
    </row>
    <row r="161" spans="1:19" s="5" customFormat="1" ht="12.75" x14ac:dyDescent="0.25">
      <c r="A161" s="192" t="s">
        <v>310</v>
      </c>
      <c r="B161" s="23" t="s">
        <v>302</v>
      </c>
      <c r="C161" s="68">
        <f>SUM(C162:C164)</f>
        <v>0</v>
      </c>
      <c r="D161" s="11">
        <f>SUM(D162:D164)</f>
        <v>0</v>
      </c>
      <c r="E161" s="242">
        <v>0</v>
      </c>
      <c r="F161" s="162">
        <f>SUM(Tabela11[[#This Row],[GOVERNANÇA
Direção e Liderança]:[GESTÃO
Infraestrutura
]])</f>
        <v>0</v>
      </c>
      <c r="G161" s="223">
        <f t="shared" si="47"/>
        <v>0</v>
      </c>
      <c r="H161" s="230" t="e">
        <f>Tabela11[[#This Row],[Proposta Orçamentária 2023]]/Tabela11[[#This Row],[Dotação Atual
2022]]</f>
        <v>#DIV/0!</v>
      </c>
      <c r="I161" s="20">
        <f>SUM(I162:I164)</f>
        <v>0</v>
      </c>
      <c r="J161" s="20">
        <f t="shared" ref="J161" si="61">SUM(J162:J164)</f>
        <v>0</v>
      </c>
      <c r="K161" s="20">
        <f t="shared" ref="K161:S161" si="62">SUM(K162:K164)</f>
        <v>0</v>
      </c>
      <c r="L161" s="119">
        <f t="shared" si="62"/>
        <v>0</v>
      </c>
      <c r="M161" s="20">
        <f t="shared" si="62"/>
        <v>0</v>
      </c>
      <c r="N161" s="20">
        <f t="shared" si="62"/>
        <v>0</v>
      </c>
      <c r="O161" s="119">
        <f t="shared" si="62"/>
        <v>0</v>
      </c>
      <c r="P161" s="20">
        <f t="shared" si="62"/>
        <v>0</v>
      </c>
      <c r="Q161" s="20">
        <f t="shared" si="62"/>
        <v>0</v>
      </c>
      <c r="R161" s="20">
        <f t="shared" si="62"/>
        <v>0</v>
      </c>
      <c r="S161" s="7">
        <f t="shared" si="62"/>
        <v>0</v>
      </c>
    </row>
    <row r="162" spans="1:19" ht="12.75" x14ac:dyDescent="0.25">
      <c r="A162" s="193" t="s">
        <v>311</v>
      </c>
      <c r="B162" s="24" t="s">
        <v>796</v>
      </c>
      <c r="C162" s="69">
        <v>0</v>
      </c>
      <c r="D162" s="12">
        <v>0</v>
      </c>
      <c r="E162" s="244">
        <v>0</v>
      </c>
      <c r="F162" s="163">
        <f>SUM(Tabela11[[#This Row],[GOVERNANÇA
Direção e Liderança]:[GESTÃO
Infraestrutura
]])</f>
        <v>0</v>
      </c>
      <c r="G162" s="224">
        <f t="shared" si="47"/>
        <v>0</v>
      </c>
      <c r="H162" s="232" t="e">
        <f>Tabela11[[#This Row],[Proposta Orçamentária 2023]]/Tabela11[[#This Row],[Dotação Atual
2022]]</f>
        <v>#DIV/0!</v>
      </c>
      <c r="I162" s="19">
        <f>'[1]TOTAL - DESPESAS'!H263</f>
        <v>0</v>
      </c>
      <c r="J162" s="19">
        <f>'[1]TOTAL - DESPESAS'!H263</f>
        <v>0</v>
      </c>
      <c r="K162" s="19">
        <f>'[1]TOTAL - DESPESAS'!I263</f>
        <v>0</v>
      </c>
      <c r="L162" s="121">
        <f>'[1]TOTAL - DESPESAS'!J263</f>
        <v>0</v>
      </c>
      <c r="M162" s="19">
        <f>'[1]TOTAL - DESPESAS'!K263</f>
        <v>0</v>
      </c>
      <c r="N162" s="19">
        <f>'[1]TOTAL - DESPESAS'!L263</f>
        <v>0</v>
      </c>
      <c r="O162" s="121">
        <f>'[1]TOTAL - DESPESAS'!M263</f>
        <v>0</v>
      </c>
      <c r="P162" s="19">
        <f>'[1]TOTAL - DESPESAS'!O263</f>
        <v>0</v>
      </c>
      <c r="Q162" s="19">
        <f>'[1]TOTAL - DESPESAS'!P263</f>
        <v>0</v>
      </c>
      <c r="R162" s="19">
        <f>'[1]TOTAL - DESPESAS'!Q263</f>
        <v>0</v>
      </c>
      <c r="S162" s="10">
        <f>'[1]TOTAL - DESPESAS'!R263</f>
        <v>0</v>
      </c>
    </row>
    <row r="163" spans="1:19" ht="12.75" x14ac:dyDescent="0.25">
      <c r="A163" s="193" t="s">
        <v>312</v>
      </c>
      <c r="B163" s="24" t="s">
        <v>797</v>
      </c>
      <c r="C163" s="69">
        <v>0</v>
      </c>
      <c r="D163" s="12">
        <v>0</v>
      </c>
      <c r="E163" s="244">
        <v>0</v>
      </c>
      <c r="F163" s="163">
        <f>SUM(Tabela11[[#This Row],[GOVERNANÇA
Direção e Liderança]:[GESTÃO
Infraestrutura
]])</f>
        <v>0</v>
      </c>
      <c r="G163" s="224">
        <f t="shared" si="47"/>
        <v>0</v>
      </c>
      <c r="H163" s="232" t="e">
        <f>Tabela11[[#This Row],[Proposta Orçamentária 2023]]/Tabela11[[#This Row],[Dotação Atual
2022]]</f>
        <v>#DIV/0!</v>
      </c>
      <c r="I163" s="19">
        <f>'[1]TOTAL - DESPESAS'!H264</f>
        <v>0</v>
      </c>
      <c r="J163" s="19">
        <f>'[1]TOTAL - DESPESAS'!H264</f>
        <v>0</v>
      </c>
      <c r="K163" s="19">
        <f>'[1]TOTAL - DESPESAS'!I264</f>
        <v>0</v>
      </c>
      <c r="L163" s="121">
        <f>'[1]TOTAL - DESPESAS'!J264</f>
        <v>0</v>
      </c>
      <c r="M163" s="19">
        <f>'[1]TOTAL - DESPESAS'!K264</f>
        <v>0</v>
      </c>
      <c r="N163" s="19">
        <f>'[1]TOTAL - DESPESAS'!L264</f>
        <v>0</v>
      </c>
      <c r="O163" s="121">
        <f>'[1]TOTAL - DESPESAS'!M264</f>
        <v>0</v>
      </c>
      <c r="P163" s="19">
        <f>'[1]TOTAL - DESPESAS'!O264</f>
        <v>0</v>
      </c>
      <c r="Q163" s="19">
        <f>'[1]TOTAL - DESPESAS'!P264</f>
        <v>0</v>
      </c>
      <c r="R163" s="19">
        <f>'[1]TOTAL - DESPESAS'!Q264</f>
        <v>0</v>
      </c>
      <c r="S163" s="10">
        <f>'[1]TOTAL - DESPESAS'!R264</f>
        <v>0</v>
      </c>
    </row>
    <row r="164" spans="1:19" ht="12.75" x14ac:dyDescent="0.25">
      <c r="A164" s="193" t="s">
        <v>313</v>
      </c>
      <c r="B164" s="24" t="s">
        <v>798</v>
      </c>
      <c r="C164" s="69">
        <v>0</v>
      </c>
      <c r="D164" s="12">
        <v>0</v>
      </c>
      <c r="E164" s="244">
        <v>0</v>
      </c>
      <c r="F164" s="163">
        <f>SUM(Tabela11[[#This Row],[GOVERNANÇA
Direção e Liderança]:[GESTÃO
Infraestrutura
]])</f>
        <v>0</v>
      </c>
      <c r="G164" s="224">
        <f t="shared" si="47"/>
        <v>0</v>
      </c>
      <c r="H164" s="232" t="e">
        <f>Tabela11[[#This Row],[Proposta Orçamentária 2023]]/Tabela11[[#This Row],[Dotação Atual
2022]]</f>
        <v>#DIV/0!</v>
      </c>
      <c r="I164" s="19">
        <f>'[1]TOTAL - DESPESAS'!H265</f>
        <v>0</v>
      </c>
      <c r="J164" s="19">
        <f>'[1]TOTAL - DESPESAS'!H265</f>
        <v>0</v>
      </c>
      <c r="K164" s="19">
        <f>'[1]TOTAL - DESPESAS'!I265</f>
        <v>0</v>
      </c>
      <c r="L164" s="121">
        <f>'[1]TOTAL - DESPESAS'!J265</f>
        <v>0</v>
      </c>
      <c r="M164" s="19">
        <f>'[1]TOTAL - DESPESAS'!K265</f>
        <v>0</v>
      </c>
      <c r="N164" s="19">
        <f>'[1]TOTAL - DESPESAS'!L265</f>
        <v>0</v>
      </c>
      <c r="O164" s="121">
        <f>'[1]TOTAL - DESPESAS'!M265</f>
        <v>0</v>
      </c>
      <c r="P164" s="19">
        <f>'[1]TOTAL - DESPESAS'!O265</f>
        <v>0</v>
      </c>
      <c r="Q164" s="19">
        <f>'[1]TOTAL - DESPESAS'!P265</f>
        <v>0</v>
      </c>
      <c r="R164" s="19">
        <f>'[1]TOTAL - DESPESAS'!Q265</f>
        <v>0</v>
      </c>
      <c r="S164" s="10">
        <f>'[1]TOTAL - DESPESAS'!R265</f>
        <v>0</v>
      </c>
    </row>
    <row r="165" spans="1:19" s="5" customFormat="1" ht="12.75" x14ac:dyDescent="0.25">
      <c r="A165" s="192" t="s">
        <v>314</v>
      </c>
      <c r="B165" s="23" t="s">
        <v>304</v>
      </c>
      <c r="C165" s="68">
        <f>+C166</f>
        <v>0</v>
      </c>
      <c r="D165" s="11">
        <f>+D166</f>
        <v>0</v>
      </c>
      <c r="E165" s="242">
        <v>0</v>
      </c>
      <c r="F165" s="162">
        <f>SUM(Tabela11[[#This Row],[GOVERNANÇA
Direção e Liderança]:[GESTÃO
Infraestrutura
]])</f>
        <v>0</v>
      </c>
      <c r="G165" s="223">
        <f t="shared" si="47"/>
        <v>0</v>
      </c>
      <c r="H165" s="230" t="e">
        <f>Tabela11[[#This Row],[Proposta Orçamentária 2023]]/Tabela11[[#This Row],[Dotação Atual
2022]]</f>
        <v>#DIV/0!</v>
      </c>
      <c r="I165" s="20">
        <f>+I166</f>
        <v>0</v>
      </c>
      <c r="J165" s="20">
        <f t="shared" ref="J165:S165" si="63">+J166</f>
        <v>0</v>
      </c>
      <c r="K165" s="20">
        <f t="shared" si="63"/>
        <v>0</v>
      </c>
      <c r="L165" s="119">
        <f t="shared" si="63"/>
        <v>0</v>
      </c>
      <c r="M165" s="20">
        <f t="shared" si="63"/>
        <v>0</v>
      </c>
      <c r="N165" s="20">
        <f t="shared" si="63"/>
        <v>0</v>
      </c>
      <c r="O165" s="119">
        <f t="shared" si="63"/>
        <v>0</v>
      </c>
      <c r="P165" s="20">
        <f t="shared" si="63"/>
        <v>0</v>
      </c>
      <c r="Q165" s="20">
        <f t="shared" si="63"/>
        <v>0</v>
      </c>
      <c r="R165" s="20">
        <f t="shared" si="63"/>
        <v>0</v>
      </c>
      <c r="S165" s="7">
        <f t="shared" si="63"/>
        <v>0</v>
      </c>
    </row>
    <row r="166" spans="1:19" ht="12.75" x14ac:dyDescent="0.25">
      <c r="A166" s="193" t="s">
        <v>315</v>
      </c>
      <c r="B166" s="24" t="s">
        <v>799</v>
      </c>
      <c r="C166" s="69">
        <v>0</v>
      </c>
      <c r="D166" s="12">
        <v>0</v>
      </c>
      <c r="E166" s="244">
        <v>0</v>
      </c>
      <c r="F166" s="163">
        <f>SUM(Tabela11[[#This Row],[GOVERNANÇA
Direção e Liderança]:[GESTÃO
Infraestrutura
]])</f>
        <v>0</v>
      </c>
      <c r="G166" s="224">
        <f t="shared" si="47"/>
        <v>0</v>
      </c>
      <c r="H166" s="232" t="e">
        <f>Tabela11[[#This Row],[Proposta Orçamentária 2023]]/Tabela11[[#This Row],[Dotação Atual
2022]]</f>
        <v>#DIV/0!</v>
      </c>
      <c r="I166" s="19">
        <f>'[1]TOTAL - DESPESAS'!H267</f>
        <v>0</v>
      </c>
      <c r="J166" s="19">
        <f>'[1]TOTAL - DESPESAS'!H267</f>
        <v>0</v>
      </c>
      <c r="K166" s="19">
        <f>'[1]TOTAL - DESPESAS'!I267</f>
        <v>0</v>
      </c>
      <c r="L166" s="121">
        <f>'[1]TOTAL - DESPESAS'!J267</f>
        <v>0</v>
      </c>
      <c r="M166" s="19">
        <f>'[1]TOTAL - DESPESAS'!K267</f>
        <v>0</v>
      </c>
      <c r="N166" s="19">
        <f>'[1]TOTAL - DESPESAS'!L267</f>
        <v>0</v>
      </c>
      <c r="O166" s="121">
        <f>'[1]TOTAL - DESPESAS'!M267</f>
        <v>0</v>
      </c>
      <c r="P166" s="19">
        <f>'[1]TOTAL - DESPESAS'!O267</f>
        <v>0</v>
      </c>
      <c r="Q166" s="19">
        <f>'[1]TOTAL - DESPESAS'!P267</f>
        <v>0</v>
      </c>
      <c r="R166" s="19">
        <f>'[1]TOTAL - DESPESAS'!Q267</f>
        <v>0</v>
      </c>
      <c r="S166" s="10">
        <f>'[1]TOTAL - DESPESAS'!R267</f>
        <v>0</v>
      </c>
    </row>
    <row r="167" spans="1:19" s="5" customFormat="1" ht="12.75" x14ac:dyDescent="0.25">
      <c r="A167" s="192" t="s">
        <v>368</v>
      </c>
      <c r="B167" s="23" t="s">
        <v>370</v>
      </c>
      <c r="C167" s="68">
        <f>+C168</f>
        <v>0</v>
      </c>
      <c r="D167" s="11">
        <f>+D168</f>
        <v>0</v>
      </c>
      <c r="E167" s="242">
        <v>0</v>
      </c>
      <c r="F167" s="162">
        <f>SUM(Tabela11[[#This Row],[GOVERNANÇA
Direção e Liderança]:[GESTÃO
Infraestrutura
]])</f>
        <v>0</v>
      </c>
      <c r="G167" s="223">
        <f t="shared" si="47"/>
        <v>0</v>
      </c>
      <c r="H167" s="230" t="e">
        <f>Tabela11[[#This Row],[Proposta Orçamentária 2023]]/Tabela11[[#This Row],[Dotação Atual
2022]]</f>
        <v>#DIV/0!</v>
      </c>
      <c r="I167" s="20">
        <f>+I168</f>
        <v>0</v>
      </c>
      <c r="J167" s="20">
        <f t="shared" ref="J167:S167" si="64">+J168</f>
        <v>0</v>
      </c>
      <c r="K167" s="20">
        <f t="shared" si="64"/>
        <v>0</v>
      </c>
      <c r="L167" s="119">
        <f t="shared" si="64"/>
        <v>0</v>
      </c>
      <c r="M167" s="20">
        <f t="shared" si="64"/>
        <v>0</v>
      </c>
      <c r="N167" s="20">
        <f t="shared" si="64"/>
        <v>0</v>
      </c>
      <c r="O167" s="119">
        <f t="shared" si="64"/>
        <v>0</v>
      </c>
      <c r="P167" s="20">
        <f t="shared" si="64"/>
        <v>0</v>
      </c>
      <c r="Q167" s="20">
        <f t="shared" si="64"/>
        <v>0</v>
      </c>
      <c r="R167" s="20">
        <f t="shared" si="64"/>
        <v>0</v>
      </c>
      <c r="S167" s="7">
        <f t="shared" si="64"/>
        <v>0</v>
      </c>
    </row>
    <row r="168" spans="1:19" ht="12.75" x14ac:dyDescent="0.25">
      <c r="A168" s="193" t="s">
        <v>369</v>
      </c>
      <c r="B168" s="24" t="s">
        <v>800</v>
      </c>
      <c r="C168" s="69">
        <v>0</v>
      </c>
      <c r="D168" s="12">
        <v>0</v>
      </c>
      <c r="E168" s="244">
        <v>0</v>
      </c>
      <c r="F168" s="163">
        <f>SUM(Tabela11[[#This Row],[GOVERNANÇA
Direção e Liderança]:[GESTÃO
Infraestrutura
]])</f>
        <v>0</v>
      </c>
      <c r="G168" s="224">
        <f t="shared" si="47"/>
        <v>0</v>
      </c>
      <c r="H168" s="232" t="e">
        <f>Tabela11[[#This Row],[Proposta Orçamentária 2023]]/Tabela11[[#This Row],[Dotação Atual
2022]]</f>
        <v>#DIV/0!</v>
      </c>
      <c r="I168" s="19">
        <f>'[1]TOTAL - DESPESAS'!H269</f>
        <v>0</v>
      </c>
      <c r="J168" s="19">
        <f>'[1]TOTAL - DESPESAS'!H269</f>
        <v>0</v>
      </c>
      <c r="K168" s="19">
        <f>'[1]TOTAL - DESPESAS'!I269</f>
        <v>0</v>
      </c>
      <c r="L168" s="121">
        <f>'[1]TOTAL - DESPESAS'!J269</f>
        <v>0</v>
      </c>
      <c r="M168" s="19">
        <f>'[1]TOTAL - DESPESAS'!K269</f>
        <v>0</v>
      </c>
      <c r="N168" s="19">
        <f>'[1]TOTAL - DESPESAS'!L269</f>
        <v>0</v>
      </c>
      <c r="O168" s="121">
        <f>'[1]TOTAL - DESPESAS'!M269</f>
        <v>0</v>
      </c>
      <c r="P168" s="19">
        <f>'[1]TOTAL - DESPESAS'!O269</f>
        <v>0</v>
      </c>
      <c r="Q168" s="19">
        <f>'[1]TOTAL - DESPESAS'!P269</f>
        <v>0</v>
      </c>
      <c r="R168" s="19">
        <f>'[1]TOTAL - DESPESAS'!Q269</f>
        <v>0</v>
      </c>
      <c r="S168" s="10">
        <f>'[1]TOTAL - DESPESAS'!R269</f>
        <v>0</v>
      </c>
    </row>
    <row r="169" spans="1:19" s="5" customFormat="1" ht="12.75" x14ac:dyDescent="0.25">
      <c r="A169" s="192" t="s">
        <v>316</v>
      </c>
      <c r="B169" s="23" t="s">
        <v>317</v>
      </c>
      <c r="C169" s="68">
        <f>+C170+C174</f>
        <v>0</v>
      </c>
      <c r="D169" s="11">
        <f>+D170+D174</f>
        <v>0</v>
      </c>
      <c r="E169" s="242">
        <v>0</v>
      </c>
      <c r="F169" s="162">
        <f>SUM(Tabela11[[#This Row],[GOVERNANÇA
Direção e Liderança]:[GESTÃO
Infraestrutura
]])</f>
        <v>0</v>
      </c>
      <c r="G169" s="223">
        <f t="shared" si="47"/>
        <v>0</v>
      </c>
      <c r="H169" s="230" t="e">
        <f>Tabela11[[#This Row],[Proposta Orçamentária 2023]]/Tabela11[[#This Row],[Dotação Atual
2022]]</f>
        <v>#DIV/0!</v>
      </c>
      <c r="I169" s="20">
        <f>+I170+I174</f>
        <v>0</v>
      </c>
      <c r="J169" s="20">
        <f t="shared" ref="J169" si="65">+J170+J174</f>
        <v>0</v>
      </c>
      <c r="K169" s="20">
        <f t="shared" ref="K169:S169" si="66">+K170+K174</f>
        <v>0</v>
      </c>
      <c r="L169" s="119">
        <f t="shared" si="66"/>
        <v>0</v>
      </c>
      <c r="M169" s="20">
        <f t="shared" si="66"/>
        <v>0</v>
      </c>
      <c r="N169" s="20">
        <f t="shared" si="66"/>
        <v>0</v>
      </c>
      <c r="O169" s="119">
        <f t="shared" si="66"/>
        <v>0</v>
      </c>
      <c r="P169" s="20">
        <f t="shared" si="66"/>
        <v>0</v>
      </c>
      <c r="Q169" s="20">
        <f t="shared" si="66"/>
        <v>0</v>
      </c>
      <c r="R169" s="20">
        <f t="shared" si="66"/>
        <v>0</v>
      </c>
      <c r="S169" s="7">
        <f t="shared" si="66"/>
        <v>0</v>
      </c>
    </row>
    <row r="170" spans="1:19" s="5" customFormat="1" ht="12.75" x14ac:dyDescent="0.25">
      <c r="A170" s="192" t="s">
        <v>318</v>
      </c>
      <c r="B170" s="23" t="s">
        <v>319</v>
      </c>
      <c r="C170" s="68">
        <f>SUM(C171:C173)</f>
        <v>0</v>
      </c>
      <c r="D170" s="11">
        <f>SUM(D171:D173)</f>
        <v>0</v>
      </c>
      <c r="E170" s="242">
        <v>0</v>
      </c>
      <c r="F170" s="162">
        <f>SUM(Tabela11[[#This Row],[GOVERNANÇA
Direção e Liderança]:[GESTÃO
Infraestrutura
]])</f>
        <v>0</v>
      </c>
      <c r="G170" s="223">
        <f t="shared" ref="G170:G178" si="67">+F170/$F$10</f>
        <v>0</v>
      </c>
      <c r="H170" s="230" t="e">
        <f>Tabela11[[#This Row],[Proposta Orçamentária 2023]]/Tabela11[[#This Row],[Dotação Atual
2022]]</f>
        <v>#DIV/0!</v>
      </c>
      <c r="I170" s="20">
        <f>SUM(I171:I173)</f>
        <v>0</v>
      </c>
      <c r="J170" s="20">
        <f t="shared" ref="J170" si="68">SUM(J171:J173)</f>
        <v>0</v>
      </c>
      <c r="K170" s="20">
        <f t="shared" ref="K170:S170" si="69">SUM(K171:K173)</f>
        <v>0</v>
      </c>
      <c r="L170" s="119">
        <f t="shared" si="69"/>
        <v>0</v>
      </c>
      <c r="M170" s="20">
        <f t="shared" si="69"/>
        <v>0</v>
      </c>
      <c r="N170" s="20">
        <f t="shared" si="69"/>
        <v>0</v>
      </c>
      <c r="O170" s="119">
        <f t="shared" si="69"/>
        <v>0</v>
      </c>
      <c r="P170" s="20">
        <f t="shared" si="69"/>
        <v>0</v>
      </c>
      <c r="Q170" s="20">
        <f t="shared" si="69"/>
        <v>0</v>
      </c>
      <c r="R170" s="20">
        <f t="shared" si="69"/>
        <v>0</v>
      </c>
      <c r="S170" s="7">
        <f t="shared" si="69"/>
        <v>0</v>
      </c>
    </row>
    <row r="171" spans="1:19" ht="12.75" x14ac:dyDescent="0.25">
      <c r="A171" s="193" t="s">
        <v>320</v>
      </c>
      <c r="B171" s="24" t="s">
        <v>806</v>
      </c>
      <c r="C171" s="69">
        <v>0</v>
      </c>
      <c r="D171" s="12">
        <v>0</v>
      </c>
      <c r="E171" s="244">
        <v>0</v>
      </c>
      <c r="F171" s="163">
        <f>SUM(Tabela11[[#This Row],[GOVERNANÇA
Direção e Liderança]:[GESTÃO
Infraestrutura
]])</f>
        <v>0</v>
      </c>
      <c r="G171" s="224">
        <f t="shared" si="67"/>
        <v>0</v>
      </c>
      <c r="H171" s="232" t="e">
        <f>Tabela11[[#This Row],[Proposta Orçamentária 2023]]/Tabela11[[#This Row],[Dotação Atual
2022]]</f>
        <v>#DIV/0!</v>
      </c>
      <c r="I171" s="19">
        <f>'[1]TOTAL - DESPESAS'!H291</f>
        <v>0</v>
      </c>
      <c r="J171" s="19">
        <f>'[1]TOTAL - DESPESAS'!H291</f>
        <v>0</v>
      </c>
      <c r="K171" s="19">
        <f>'[1]TOTAL - DESPESAS'!I291</f>
        <v>0</v>
      </c>
      <c r="L171" s="121">
        <f>'[1]TOTAL - DESPESAS'!J291</f>
        <v>0</v>
      </c>
      <c r="M171" s="19">
        <f>'[1]TOTAL - DESPESAS'!K291</f>
        <v>0</v>
      </c>
      <c r="N171" s="19">
        <f>'[1]TOTAL - DESPESAS'!L291</f>
        <v>0</v>
      </c>
      <c r="O171" s="121">
        <f>'[1]TOTAL - DESPESAS'!M291</f>
        <v>0</v>
      </c>
      <c r="P171" s="19">
        <f>'[1]TOTAL - DESPESAS'!O291</f>
        <v>0</v>
      </c>
      <c r="Q171" s="19">
        <f>'[1]TOTAL - DESPESAS'!P291</f>
        <v>0</v>
      </c>
      <c r="R171" s="19">
        <f>'[1]TOTAL - DESPESAS'!Q291</f>
        <v>0</v>
      </c>
      <c r="S171" s="10">
        <f>'[1]TOTAL - DESPESAS'!R291</f>
        <v>0</v>
      </c>
    </row>
    <row r="172" spans="1:19" ht="12.75" x14ac:dyDescent="0.25">
      <c r="A172" s="193" t="s">
        <v>321</v>
      </c>
      <c r="B172" s="24" t="s">
        <v>807</v>
      </c>
      <c r="C172" s="69">
        <v>0</v>
      </c>
      <c r="D172" s="12">
        <v>0</v>
      </c>
      <c r="E172" s="244">
        <v>0</v>
      </c>
      <c r="F172" s="163">
        <f>SUM(Tabela11[[#This Row],[GOVERNANÇA
Direção e Liderança]:[GESTÃO
Infraestrutura
]])</f>
        <v>0</v>
      </c>
      <c r="G172" s="224">
        <f t="shared" si="67"/>
        <v>0</v>
      </c>
      <c r="H172" s="232" t="e">
        <f>Tabela11[[#This Row],[Proposta Orçamentária 2023]]/Tabela11[[#This Row],[Dotação Atual
2022]]</f>
        <v>#DIV/0!</v>
      </c>
      <c r="I172" s="19">
        <f>'[1]TOTAL - DESPESAS'!H292</f>
        <v>0</v>
      </c>
      <c r="J172" s="19">
        <f>'[1]TOTAL - DESPESAS'!H292</f>
        <v>0</v>
      </c>
      <c r="K172" s="19">
        <f>'[1]TOTAL - DESPESAS'!I292</f>
        <v>0</v>
      </c>
      <c r="L172" s="121">
        <f>'[1]TOTAL - DESPESAS'!J292</f>
        <v>0</v>
      </c>
      <c r="M172" s="19">
        <f>'[1]TOTAL - DESPESAS'!K292</f>
        <v>0</v>
      </c>
      <c r="N172" s="19">
        <f>'[1]TOTAL - DESPESAS'!L292</f>
        <v>0</v>
      </c>
      <c r="O172" s="121">
        <f>'[1]TOTAL - DESPESAS'!M292</f>
        <v>0</v>
      </c>
      <c r="P172" s="19">
        <f>'[1]TOTAL - DESPESAS'!O292</f>
        <v>0</v>
      </c>
      <c r="Q172" s="19">
        <f>'[1]TOTAL - DESPESAS'!P292</f>
        <v>0</v>
      </c>
      <c r="R172" s="19">
        <f>'[1]TOTAL - DESPESAS'!Q292</f>
        <v>0</v>
      </c>
      <c r="S172" s="10">
        <f>'[1]TOTAL - DESPESAS'!R292</f>
        <v>0</v>
      </c>
    </row>
    <row r="173" spans="1:19" ht="12.75" x14ac:dyDescent="0.25">
      <c r="A173" s="193" t="s">
        <v>322</v>
      </c>
      <c r="B173" s="24" t="s">
        <v>808</v>
      </c>
      <c r="C173" s="69">
        <v>0</v>
      </c>
      <c r="D173" s="12">
        <v>0</v>
      </c>
      <c r="E173" s="244">
        <v>0</v>
      </c>
      <c r="F173" s="163">
        <f>SUM(Tabela11[[#This Row],[GOVERNANÇA
Direção e Liderança]:[GESTÃO
Infraestrutura
]])</f>
        <v>0</v>
      </c>
      <c r="G173" s="224">
        <f t="shared" si="67"/>
        <v>0</v>
      </c>
      <c r="H173" s="232" t="e">
        <f>Tabela11[[#This Row],[Proposta Orçamentária 2023]]/Tabela11[[#This Row],[Dotação Atual
2022]]</f>
        <v>#DIV/0!</v>
      </c>
      <c r="I173" s="19">
        <f>'[1]TOTAL - DESPESAS'!H293</f>
        <v>0</v>
      </c>
      <c r="J173" s="19">
        <f>'[1]TOTAL - DESPESAS'!H293</f>
        <v>0</v>
      </c>
      <c r="K173" s="19">
        <f>'[1]TOTAL - DESPESAS'!I293</f>
        <v>0</v>
      </c>
      <c r="L173" s="121">
        <f>'[1]TOTAL - DESPESAS'!J293</f>
        <v>0</v>
      </c>
      <c r="M173" s="19">
        <f>'[1]TOTAL - DESPESAS'!K293</f>
        <v>0</v>
      </c>
      <c r="N173" s="19">
        <f>'[1]TOTAL - DESPESAS'!L293</f>
        <v>0</v>
      </c>
      <c r="O173" s="121">
        <f>'[1]TOTAL - DESPESAS'!M293</f>
        <v>0</v>
      </c>
      <c r="P173" s="19">
        <f>'[1]TOTAL - DESPESAS'!O293</f>
        <v>0</v>
      </c>
      <c r="Q173" s="19">
        <f>'[1]TOTAL - DESPESAS'!P293</f>
        <v>0</v>
      </c>
      <c r="R173" s="19">
        <f>'[1]TOTAL - DESPESAS'!Q293</f>
        <v>0</v>
      </c>
      <c r="S173" s="10">
        <f>'[1]TOTAL - DESPESAS'!R293</f>
        <v>0</v>
      </c>
    </row>
    <row r="174" spans="1:19" s="5" customFormat="1" ht="12.75" x14ac:dyDescent="0.25">
      <c r="A174" s="192" t="s">
        <v>323</v>
      </c>
      <c r="B174" s="23" t="s">
        <v>324</v>
      </c>
      <c r="C174" s="68">
        <f>+C175</f>
        <v>0</v>
      </c>
      <c r="D174" s="11">
        <f>+D175</f>
        <v>0</v>
      </c>
      <c r="E174" s="242">
        <v>0</v>
      </c>
      <c r="F174" s="162">
        <f>SUM(Tabela11[[#This Row],[GOVERNANÇA
Direção e Liderança]:[GESTÃO
Infraestrutura
]])</f>
        <v>0</v>
      </c>
      <c r="G174" s="223">
        <f t="shared" si="67"/>
        <v>0</v>
      </c>
      <c r="H174" s="230" t="e">
        <f>Tabela11[[#This Row],[Proposta Orçamentária 2023]]/Tabela11[[#This Row],[Dotação Atual
2022]]</f>
        <v>#DIV/0!</v>
      </c>
      <c r="I174" s="20">
        <f>+I175</f>
        <v>0</v>
      </c>
      <c r="J174" s="20">
        <f t="shared" ref="J174:S174" si="70">+J175</f>
        <v>0</v>
      </c>
      <c r="K174" s="20">
        <f t="shared" si="70"/>
        <v>0</v>
      </c>
      <c r="L174" s="119">
        <f t="shared" si="70"/>
        <v>0</v>
      </c>
      <c r="M174" s="20">
        <f t="shared" si="70"/>
        <v>0</v>
      </c>
      <c r="N174" s="20">
        <f t="shared" si="70"/>
        <v>0</v>
      </c>
      <c r="O174" s="119">
        <f t="shared" si="70"/>
        <v>0</v>
      </c>
      <c r="P174" s="20">
        <f t="shared" si="70"/>
        <v>0</v>
      </c>
      <c r="Q174" s="20">
        <f t="shared" si="70"/>
        <v>0</v>
      </c>
      <c r="R174" s="20">
        <f t="shared" si="70"/>
        <v>0</v>
      </c>
      <c r="S174" s="7">
        <f t="shared" si="70"/>
        <v>0</v>
      </c>
    </row>
    <row r="175" spans="1:19" ht="12.75" x14ac:dyDescent="0.25">
      <c r="A175" s="193" t="s">
        <v>325</v>
      </c>
      <c r="B175" s="24" t="s">
        <v>802</v>
      </c>
      <c r="C175" s="69">
        <v>0</v>
      </c>
      <c r="D175" s="12">
        <v>0</v>
      </c>
      <c r="E175" s="244">
        <v>0</v>
      </c>
      <c r="F175" s="163">
        <f>SUM(Tabela11[[#This Row],[GOVERNANÇA
Direção e Liderança]:[GESTÃO
Infraestrutura
]])</f>
        <v>0</v>
      </c>
      <c r="G175" s="224">
        <f t="shared" si="67"/>
        <v>0</v>
      </c>
      <c r="H175" s="232" t="e">
        <f>Tabela11[[#This Row],[Proposta Orçamentária 2023]]/Tabela11[[#This Row],[Dotação Atual
2022]]</f>
        <v>#DIV/0!</v>
      </c>
      <c r="I175" s="19">
        <f>'[1]TOTAL - DESPESAS'!H295</f>
        <v>0</v>
      </c>
      <c r="J175" s="19">
        <f>'[1]TOTAL - DESPESAS'!H295</f>
        <v>0</v>
      </c>
      <c r="K175" s="19">
        <f>'[1]TOTAL - DESPESAS'!I295</f>
        <v>0</v>
      </c>
      <c r="L175" s="121">
        <f>'[1]TOTAL - DESPESAS'!J295</f>
        <v>0</v>
      </c>
      <c r="M175" s="19">
        <f>'[1]TOTAL - DESPESAS'!K295</f>
        <v>0</v>
      </c>
      <c r="N175" s="19">
        <f>'[1]TOTAL - DESPESAS'!L295</f>
        <v>0</v>
      </c>
      <c r="O175" s="121">
        <f>'[1]TOTAL - DESPESAS'!M295</f>
        <v>0</v>
      </c>
      <c r="P175" s="19">
        <f>'[1]TOTAL - DESPESAS'!O295</f>
        <v>0</v>
      </c>
      <c r="Q175" s="19">
        <f>'[1]TOTAL - DESPESAS'!P295</f>
        <v>0</v>
      </c>
      <c r="R175" s="19">
        <f>'[1]TOTAL - DESPESAS'!Q295</f>
        <v>0</v>
      </c>
      <c r="S175" s="10">
        <f>'[1]TOTAL - DESPESAS'!R295</f>
        <v>0</v>
      </c>
    </row>
    <row r="176" spans="1:19" s="5" customFormat="1" ht="12.75" x14ac:dyDescent="0.25">
      <c r="A176" s="192" t="s">
        <v>326</v>
      </c>
      <c r="B176" s="23" t="s">
        <v>327</v>
      </c>
      <c r="C176" s="68">
        <f>+C177</f>
        <v>16201852.689999999</v>
      </c>
      <c r="D176" s="11">
        <f>+D177</f>
        <v>12127.06</v>
      </c>
      <c r="E176" s="243">
        <f t="shared" ref="E176:E178" si="71">+D176/C176</f>
        <v>7.4849834966620723E-4</v>
      </c>
      <c r="F176" s="162">
        <f>SUM(Tabela11[[#This Row],[GOVERNANÇA
Direção e Liderança]:[GESTÃO
Infraestrutura
]])</f>
        <v>20265000</v>
      </c>
      <c r="G176" s="223">
        <f t="shared" si="67"/>
        <v>6.6661184210526317E-2</v>
      </c>
      <c r="H176" s="231">
        <f>Tabela11[[#This Row],[Proposta Orçamentária 2023]]/Tabela11[[#This Row],[Dotação Atual
2022]]</f>
        <v>1.2507828819174382</v>
      </c>
      <c r="I176" s="20">
        <f>+I177</f>
        <v>0</v>
      </c>
      <c r="J176" s="20">
        <f t="shared" ref="J176:S176" si="72">+J177</f>
        <v>0</v>
      </c>
      <c r="K176" s="20">
        <f t="shared" si="72"/>
        <v>20265000</v>
      </c>
      <c r="L176" s="119">
        <f t="shared" si="72"/>
        <v>0</v>
      </c>
      <c r="M176" s="20">
        <f t="shared" si="72"/>
        <v>0</v>
      </c>
      <c r="N176" s="20">
        <f t="shared" si="72"/>
        <v>0</v>
      </c>
      <c r="O176" s="119">
        <f t="shared" si="72"/>
        <v>0</v>
      </c>
      <c r="P176" s="20">
        <f t="shared" si="72"/>
        <v>0</v>
      </c>
      <c r="Q176" s="20">
        <f t="shared" si="72"/>
        <v>0</v>
      </c>
      <c r="R176" s="20">
        <f t="shared" si="72"/>
        <v>0</v>
      </c>
      <c r="S176" s="7">
        <f t="shared" si="72"/>
        <v>0</v>
      </c>
    </row>
    <row r="177" spans="1:19" s="5" customFormat="1" ht="12.75" x14ac:dyDescent="0.25">
      <c r="A177" s="192" t="s">
        <v>328</v>
      </c>
      <c r="B177" s="23" t="s">
        <v>114</v>
      </c>
      <c r="C177" s="68">
        <f>C178</f>
        <v>16201852.689999999</v>
      </c>
      <c r="D177" s="11">
        <f>D178</f>
        <v>12127.06</v>
      </c>
      <c r="E177" s="243">
        <f t="shared" si="71"/>
        <v>7.4849834966620723E-4</v>
      </c>
      <c r="F177" s="162">
        <f>SUM(Tabela11[[#This Row],[GOVERNANÇA
Direção e Liderança]:[GESTÃO
Infraestrutura
]])</f>
        <v>20265000</v>
      </c>
      <c r="G177" s="223">
        <f t="shared" si="67"/>
        <v>6.6661184210526317E-2</v>
      </c>
      <c r="H177" s="231">
        <f>Tabela11[[#This Row],[Proposta Orçamentária 2023]]/Tabela11[[#This Row],[Dotação Atual
2022]]</f>
        <v>1.2507828819174382</v>
      </c>
      <c r="I177" s="20">
        <f>I178</f>
        <v>0</v>
      </c>
      <c r="J177" s="20">
        <f t="shared" ref="J177:S177" si="73">J178</f>
        <v>0</v>
      </c>
      <c r="K177" s="20">
        <f t="shared" si="73"/>
        <v>20265000</v>
      </c>
      <c r="L177" s="119">
        <f t="shared" si="73"/>
        <v>0</v>
      </c>
      <c r="M177" s="20">
        <f t="shared" si="73"/>
        <v>0</v>
      </c>
      <c r="N177" s="20">
        <f t="shared" si="73"/>
        <v>0</v>
      </c>
      <c r="O177" s="119">
        <f t="shared" si="73"/>
        <v>0</v>
      </c>
      <c r="P177" s="20">
        <f t="shared" si="73"/>
        <v>0</v>
      </c>
      <c r="Q177" s="20">
        <f t="shared" si="73"/>
        <v>0</v>
      </c>
      <c r="R177" s="20">
        <f t="shared" si="73"/>
        <v>0</v>
      </c>
      <c r="S177" s="7">
        <f t="shared" si="73"/>
        <v>0</v>
      </c>
    </row>
    <row r="178" spans="1:19" ht="12.75" x14ac:dyDescent="0.25">
      <c r="A178" s="193" t="s">
        <v>329</v>
      </c>
      <c r="B178" s="24" t="s">
        <v>801</v>
      </c>
      <c r="C178" s="69">
        <v>16201852.689999999</v>
      </c>
      <c r="D178" s="67">
        <v>12127.06</v>
      </c>
      <c r="E178" s="244">
        <f t="shared" si="71"/>
        <v>7.4849834966620723E-4</v>
      </c>
      <c r="F178" s="164">
        <f>SUM(Tabela11[[#This Row],[GOVERNANÇA
Direção e Liderança]:[GESTÃO
Infraestrutura
]])</f>
        <v>20265000</v>
      </c>
      <c r="G178" s="224">
        <f t="shared" si="67"/>
        <v>6.6661184210526317E-2</v>
      </c>
      <c r="H178" s="232">
        <f>Tabela11[[#This Row],[Proposta Orçamentária 2023]]/Tabela11[[#This Row],[Dotação Atual
2022]]</f>
        <v>1.2507828819174382</v>
      </c>
      <c r="I178" s="19">
        <v>0</v>
      </c>
      <c r="J178" s="19">
        <v>0</v>
      </c>
      <c r="K178" s="19">
        <v>20265000</v>
      </c>
      <c r="L178" s="121">
        <v>0</v>
      </c>
      <c r="M178" s="19">
        <v>0</v>
      </c>
      <c r="N178" s="19">
        <v>0</v>
      </c>
      <c r="O178" s="121">
        <v>0</v>
      </c>
      <c r="P178" s="19">
        <v>0</v>
      </c>
      <c r="Q178" s="19">
        <v>0</v>
      </c>
      <c r="R178" s="19">
        <v>0</v>
      </c>
      <c r="S178" s="10">
        <v>0</v>
      </c>
    </row>
    <row r="179" spans="1:19" x14ac:dyDescent="0.25">
      <c r="A179" s="88" t="str">
        <f>'Anexo II - Receitas Analíticas'!A90</f>
        <v>Decisão Plenária nº PL-</v>
      </c>
      <c r="B179" s="87"/>
      <c r="C179" s="87"/>
      <c r="D179" s="87"/>
      <c r="E179" s="87"/>
      <c r="F179" s="166"/>
      <c r="G179" s="226"/>
      <c r="H179" s="166"/>
      <c r="I179" s="87"/>
      <c r="J179" s="87"/>
    </row>
    <row r="180" spans="1:19" x14ac:dyDescent="0.25">
      <c r="A180" s="314" t="str">
        <f>'Anexo II - Receitas Analíticas'!A91:G91</f>
        <v>Brasília-DF, Dezembro de 2022</v>
      </c>
      <c r="B180" s="314"/>
      <c r="C180" s="314"/>
      <c r="D180" s="314"/>
      <c r="E180" s="314"/>
      <c r="F180" s="314"/>
      <c r="G180" s="314"/>
      <c r="H180" s="314"/>
      <c r="I180" s="314"/>
      <c r="J180" s="2"/>
    </row>
    <row r="181" spans="1:19" ht="31.5" customHeight="1" x14ac:dyDescent="0.25">
      <c r="B181" s="4"/>
      <c r="E181" s="3"/>
      <c r="F181" s="167"/>
      <c r="G181" s="227"/>
      <c r="H181" s="167"/>
    </row>
    <row r="182" spans="1:19" x14ac:dyDescent="0.25">
      <c r="A182" s="319" t="str">
        <f>'Anexo II - Receitas Analíticas'!A93:B93</f>
        <v>Júlio César Gonçalves de Miranda</v>
      </c>
      <c r="B182" s="319"/>
      <c r="C182" s="319" t="str">
        <f>'Anexo II - Receitas Analíticas'!C93:G93</f>
        <v>Jadir José Alberti</v>
      </c>
      <c r="D182" s="319"/>
      <c r="E182" s="319"/>
      <c r="F182" s="319"/>
      <c r="G182" s="319"/>
      <c r="H182" s="319"/>
      <c r="I182" s="319"/>
      <c r="J182" s="42"/>
    </row>
    <row r="183" spans="1:19" x14ac:dyDescent="0.25">
      <c r="A183" s="314" t="str">
        <f>'Anexo II - Receitas Analíticas'!A94:B94</f>
        <v>Gerente de Orçamento e Contabilidade</v>
      </c>
      <c r="B183" s="314"/>
      <c r="C183" s="318" t="str">
        <f>'Anexo II - Receitas Analíticas'!C94:G94</f>
        <v>Superintendente Administrativo e Financeiro</v>
      </c>
      <c r="D183" s="318"/>
      <c r="E183" s="318"/>
      <c r="F183" s="318"/>
      <c r="G183" s="318"/>
      <c r="H183" s="318"/>
      <c r="I183" s="318"/>
      <c r="J183" s="156"/>
    </row>
    <row r="184" spans="1:19" ht="44.25" customHeight="1" x14ac:dyDescent="0.25">
      <c r="B184" s="4"/>
      <c r="E184" s="3"/>
      <c r="F184" s="167"/>
      <c r="G184" s="227"/>
      <c r="H184" s="167"/>
    </row>
    <row r="185" spans="1:19" x14ac:dyDescent="0.25">
      <c r="A185" s="319" t="str">
        <f>'Anexo II - Receitas Analíticas'!A96:G96</f>
        <v>Eng. Civ. Joel Krüger</v>
      </c>
      <c r="B185" s="319"/>
      <c r="C185" s="319"/>
      <c r="D185" s="319"/>
      <c r="E185" s="319"/>
      <c r="F185" s="319"/>
      <c r="G185" s="319"/>
      <c r="H185" s="319"/>
      <c r="I185" s="319"/>
      <c r="J185" s="42"/>
    </row>
    <row r="186" spans="1:19" x14ac:dyDescent="0.25">
      <c r="A186" s="318" t="str">
        <f>'Anexo II - Receitas Analíticas'!A97:G97</f>
        <v>Presidente do Confea</v>
      </c>
      <c r="B186" s="318"/>
      <c r="C186" s="318"/>
      <c r="D186" s="318"/>
      <c r="E186" s="318"/>
      <c r="F186" s="318"/>
      <c r="G186" s="318"/>
      <c r="H186" s="318"/>
      <c r="I186" s="318"/>
      <c r="J186" s="156"/>
    </row>
  </sheetData>
  <sheetProtection selectLockedCells="1" selectUnlockedCells="1"/>
  <mergeCells count="12">
    <mergeCell ref="A4:H4"/>
    <mergeCell ref="A186:I186"/>
    <mergeCell ref="A180:I180"/>
    <mergeCell ref="A182:B182"/>
    <mergeCell ref="C182:I182"/>
    <mergeCell ref="A183:B183"/>
    <mergeCell ref="C183:I183"/>
    <mergeCell ref="A185:I185"/>
    <mergeCell ref="A8:H8"/>
    <mergeCell ref="A7:H7"/>
    <mergeCell ref="A6:H6"/>
    <mergeCell ref="A5:H5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3" firstPageNumber="0" fitToHeight="0" orientation="portrait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E1FC-0102-4AD4-85FA-449B7998AF82}">
  <sheetPr>
    <tabColor theme="4" tint="0.79998168889431442"/>
    <pageSetUpPr fitToPage="1"/>
  </sheetPr>
  <dimension ref="A1:X231"/>
  <sheetViews>
    <sheetView showGridLines="0" workbookViewId="0">
      <selection activeCell="H10" sqref="H10"/>
    </sheetView>
  </sheetViews>
  <sheetFormatPr defaultColWidth="9.140625" defaultRowHeight="15" x14ac:dyDescent="0.25"/>
  <cols>
    <col min="1" max="1" width="16" style="1" customWidth="1"/>
    <col min="2" max="2" width="58.7109375" style="1" customWidth="1"/>
    <col min="3" max="3" width="14.7109375" style="1" customWidth="1"/>
    <col min="4" max="4" width="15.7109375" style="1" customWidth="1"/>
    <col min="5" max="6" width="14.7109375" style="1" customWidth="1"/>
    <col min="7" max="10" width="14.7109375" style="15" customWidth="1"/>
    <col min="11" max="14" width="14.7109375" customWidth="1"/>
    <col min="15" max="19" width="14.7109375" style="1" customWidth="1"/>
    <col min="20" max="20" width="12.42578125" style="1" customWidth="1"/>
    <col min="21" max="16384" width="9.140625" style="1"/>
  </cols>
  <sheetData>
    <row r="1" spans="1:21" ht="18" customHeight="1" x14ac:dyDescent="0.25">
      <c r="A1" s="9"/>
      <c r="B1" s="9"/>
      <c r="C1" s="9"/>
      <c r="D1" s="9"/>
      <c r="E1" s="9"/>
      <c r="F1" s="9"/>
      <c r="G1" s="14"/>
      <c r="H1" s="14"/>
      <c r="I1" s="14"/>
      <c r="J1" s="14"/>
      <c r="K1" s="1"/>
      <c r="L1" s="1"/>
      <c r="M1" s="1"/>
      <c r="N1" s="1"/>
    </row>
    <row r="2" spans="1:21" ht="18" customHeight="1" x14ac:dyDescent="0.25">
      <c r="A2" s="9"/>
      <c r="B2" s="9"/>
      <c r="C2" s="9"/>
      <c r="D2" s="9"/>
      <c r="E2" s="9"/>
      <c r="F2" s="9"/>
      <c r="G2" s="14"/>
      <c r="H2" s="14"/>
      <c r="I2" s="14"/>
      <c r="J2" s="14"/>
      <c r="K2" s="1"/>
      <c r="L2" s="1"/>
      <c r="M2" s="1"/>
      <c r="N2" s="1"/>
    </row>
    <row r="3" spans="1:21" ht="18" customHeight="1" x14ac:dyDescent="0.25">
      <c r="A3" s="9"/>
      <c r="B3" s="9"/>
      <c r="C3" s="9"/>
      <c r="D3" s="9"/>
      <c r="E3" s="9"/>
      <c r="F3" s="9"/>
      <c r="G3" s="14"/>
      <c r="H3" s="14"/>
      <c r="I3" s="14"/>
      <c r="J3" s="14"/>
      <c r="K3" s="1"/>
      <c r="L3" s="1"/>
      <c r="M3" s="1"/>
      <c r="N3" s="1"/>
    </row>
    <row r="4" spans="1:21" ht="18" customHeight="1" x14ac:dyDescent="0.25">
      <c r="A4" s="315" t="s">
        <v>343</v>
      </c>
      <c r="B4" s="315"/>
      <c r="C4" s="315"/>
      <c r="D4" s="315"/>
      <c r="E4" s="315"/>
      <c r="F4" s="315"/>
      <c r="G4" s="315"/>
      <c r="H4" s="39"/>
      <c r="I4" s="39"/>
      <c r="J4" s="39"/>
      <c r="K4" s="1"/>
      <c r="L4" s="1"/>
      <c r="M4" s="1"/>
      <c r="N4" s="1"/>
    </row>
    <row r="5" spans="1:21" ht="18" customHeight="1" x14ac:dyDescent="0.25">
      <c r="A5" s="315" t="s">
        <v>342</v>
      </c>
      <c r="B5" s="315"/>
      <c r="C5" s="315"/>
      <c r="D5" s="315"/>
      <c r="E5" s="315"/>
      <c r="F5" s="315"/>
      <c r="G5" s="315"/>
      <c r="H5" s="39"/>
      <c r="I5" s="39"/>
      <c r="J5" s="39"/>
      <c r="K5" s="1"/>
      <c r="L5" s="1"/>
      <c r="M5" s="1"/>
      <c r="N5" s="1"/>
    </row>
    <row r="6" spans="1:21" ht="16.5" customHeight="1" x14ac:dyDescent="0.25">
      <c r="A6" s="316" t="s">
        <v>354</v>
      </c>
      <c r="B6" s="316"/>
      <c r="C6" s="316"/>
      <c r="D6" s="316"/>
      <c r="E6" s="316"/>
      <c r="F6" s="316"/>
      <c r="G6" s="316"/>
      <c r="H6" s="102"/>
      <c r="I6" s="102"/>
      <c r="J6" s="102"/>
      <c r="K6" s="1"/>
      <c r="L6" s="1"/>
      <c r="M6" s="1"/>
      <c r="N6" s="1"/>
    </row>
    <row r="7" spans="1:21" ht="16.5" customHeight="1" x14ac:dyDescent="0.25">
      <c r="A7" s="317" t="s">
        <v>353</v>
      </c>
      <c r="B7" s="317"/>
      <c r="C7" s="317"/>
      <c r="D7" s="317"/>
      <c r="E7" s="317"/>
      <c r="F7" s="317"/>
      <c r="G7" s="317"/>
      <c r="H7" s="9"/>
      <c r="I7" s="14"/>
      <c r="J7" s="14"/>
      <c r="K7" s="1"/>
      <c r="L7" s="1"/>
      <c r="M7" s="1"/>
      <c r="N7" s="1"/>
    </row>
    <row r="8" spans="1:21" ht="15.75" customHeight="1" thickBot="1" x14ac:dyDescent="0.3">
      <c r="A8" s="317" t="str">
        <f>'Anexo II - Receitas Analíticas'!A8:G8</f>
        <v>Exercício de 2023</v>
      </c>
      <c r="B8" s="317"/>
      <c r="C8" s="317"/>
      <c r="D8" s="317"/>
      <c r="E8" s="317"/>
      <c r="F8" s="317"/>
      <c r="G8" s="317"/>
      <c r="H8" s="9"/>
      <c r="I8" s="14"/>
      <c r="J8" s="14"/>
      <c r="K8" s="1"/>
      <c r="L8" s="1"/>
      <c r="M8" s="1"/>
      <c r="N8" s="1"/>
      <c r="U8" s="8"/>
    </row>
    <row r="9" spans="1:21" s="29" customFormat="1" ht="39.75" customHeight="1" thickTop="1" x14ac:dyDescent="0.25">
      <c r="A9" s="106" t="s">
        <v>339</v>
      </c>
      <c r="B9" s="107" t="s">
        <v>338</v>
      </c>
      <c r="C9" s="116" t="s">
        <v>639</v>
      </c>
      <c r="D9" s="117" t="s">
        <v>1365</v>
      </c>
      <c r="E9" s="116" t="s">
        <v>1345</v>
      </c>
      <c r="F9" s="117" t="s">
        <v>1360</v>
      </c>
      <c r="G9" s="235" t="s">
        <v>1350</v>
      </c>
      <c r="H9" s="234" t="s">
        <v>1371</v>
      </c>
      <c r="I9" s="170" t="s">
        <v>644</v>
      </c>
      <c r="J9" s="171" t="s">
        <v>1361</v>
      </c>
      <c r="K9" s="171" t="s">
        <v>646</v>
      </c>
      <c r="L9" s="213" t="s">
        <v>647</v>
      </c>
      <c r="M9" s="172" t="s">
        <v>648</v>
      </c>
      <c r="N9" s="173" t="s">
        <v>649</v>
      </c>
      <c r="O9" s="215" t="s">
        <v>645</v>
      </c>
      <c r="P9" s="214" t="s">
        <v>650</v>
      </c>
      <c r="Q9" s="174" t="s">
        <v>651</v>
      </c>
      <c r="R9" s="174" t="s">
        <v>1362</v>
      </c>
      <c r="S9" s="175" t="s">
        <v>1363</v>
      </c>
    </row>
    <row r="10" spans="1:21" ht="21" customHeight="1" x14ac:dyDescent="0.25">
      <c r="A10" s="98" t="s">
        <v>124</v>
      </c>
      <c r="B10" s="25" t="s">
        <v>362</v>
      </c>
      <c r="C10" s="118">
        <f>C11+C14+C26+C28+C44+C45+C47</f>
        <v>150895000</v>
      </c>
      <c r="D10" s="119">
        <f>D11+D14+D26+D28+D44+D45+D47</f>
        <v>128776282.95000002</v>
      </c>
      <c r="E10" s="118">
        <f>E11+E14+E26+E28+E44+E45+E47</f>
        <v>252873147.31</v>
      </c>
      <c r="F10" s="119">
        <f>F11+F14+F26+F28+F44+F45+F47</f>
        <v>59481480.279999994</v>
      </c>
      <c r="G10" s="236">
        <f>SUM(Tabela12[[#This Row],[GOVERNANÇA
Direção e Liderança]:[GESTÃO
Infraestrutura
]])</f>
        <v>280680000</v>
      </c>
      <c r="H10" s="222">
        <f>Tabela12[[#This Row],[Proposta Orçamentária 2023]]/Tabela12[[#This Row],[Orçado
2022]]</f>
        <v>1.1099636437708085</v>
      </c>
      <c r="I10" s="118">
        <f t="shared" ref="I10:S10" si="0">I11+I14+I26+I28+I44+I45+I47</f>
        <v>33343930</v>
      </c>
      <c r="J10" s="20">
        <f t="shared" si="0"/>
        <v>35990495</v>
      </c>
      <c r="K10" s="20">
        <f t="shared" si="0"/>
        <v>29369035</v>
      </c>
      <c r="L10" s="119">
        <f t="shared" si="0"/>
        <v>20315525</v>
      </c>
      <c r="M10" s="20">
        <f t="shared" si="0"/>
        <v>1682585</v>
      </c>
      <c r="N10" s="20">
        <f t="shared" si="0"/>
        <v>200000</v>
      </c>
      <c r="O10" s="119">
        <f t="shared" si="0"/>
        <v>21924460</v>
      </c>
      <c r="P10" s="20">
        <f t="shared" si="0"/>
        <v>61169315</v>
      </c>
      <c r="Q10" s="20">
        <f t="shared" si="0"/>
        <v>24779035</v>
      </c>
      <c r="R10" s="20">
        <f t="shared" si="0"/>
        <v>34834580</v>
      </c>
      <c r="S10" s="176">
        <f t="shared" si="0"/>
        <v>17071040</v>
      </c>
      <c r="T10" s="10"/>
    </row>
    <row r="11" spans="1:21" ht="12.75" customHeight="1" x14ac:dyDescent="0.25">
      <c r="A11" s="98" t="s">
        <v>125</v>
      </c>
      <c r="B11" s="25" t="s">
        <v>126</v>
      </c>
      <c r="C11" s="118">
        <f>SUM(C12:C13)</f>
        <v>63145000</v>
      </c>
      <c r="D11" s="119">
        <f>SUM(D12:D13)</f>
        <v>60969967.580000006</v>
      </c>
      <c r="E11" s="118">
        <f>SUM(E12:E13)</f>
        <v>71151500</v>
      </c>
      <c r="F11" s="119">
        <f>SUM(F12:F13)</f>
        <v>28562740.449999996</v>
      </c>
      <c r="G11" s="236">
        <f>SUM(Tabela12[[#This Row],[GOVERNANÇA
Direção e Liderança]:[GESTÃO
Infraestrutura
]])</f>
        <v>87282000</v>
      </c>
      <c r="H11" s="222">
        <f>Tabela12[[#This Row],[Proposta Orçamentária 2023]]/Tabela12[[#This Row],[Orçado
2022]]</f>
        <v>1.2267063941027245</v>
      </c>
      <c r="I11" s="118">
        <f t="shared" ref="I11" si="1">SUM(I12:I13)</f>
        <v>15123080</v>
      </c>
      <c r="J11" s="20">
        <f t="shared" ref="J11" si="2">SUM(J12:J13)</f>
        <v>10533425</v>
      </c>
      <c r="K11" s="20">
        <f t="shared" ref="K11" si="3">SUM(K12:K13)</f>
        <v>6385390</v>
      </c>
      <c r="L11" s="119">
        <f t="shared" ref="L11" si="4">SUM(L12:L13)</f>
        <v>13517635</v>
      </c>
      <c r="M11" s="20">
        <f t="shared" ref="M11" si="5">SUM(M12:M13)</f>
        <v>845475</v>
      </c>
      <c r="N11" s="20">
        <f t="shared" ref="N11" si="6">SUM(N12:N13)</f>
        <v>0</v>
      </c>
      <c r="O11" s="119">
        <f t="shared" ref="O11" si="7">SUM(O12:O13)</f>
        <v>12883270</v>
      </c>
      <c r="P11" s="20">
        <f t="shared" ref="P11" si="8">SUM(P12:P13)</f>
        <v>5836515</v>
      </c>
      <c r="Q11" s="20">
        <f t="shared" ref="Q11" si="9">SUM(Q12:Q13)</f>
        <v>16155485</v>
      </c>
      <c r="R11" s="20">
        <f t="shared" ref="R11" si="10">SUM(R12:R13)</f>
        <v>3189280</v>
      </c>
      <c r="S11" s="176">
        <f t="shared" ref="S11" si="11">SUM(S12:S13)</f>
        <v>2812445</v>
      </c>
    </row>
    <row r="12" spans="1:21" ht="12.75" customHeight="1" x14ac:dyDescent="0.25">
      <c r="A12" s="100" t="s">
        <v>127</v>
      </c>
      <c r="B12" s="71" t="s">
        <v>661</v>
      </c>
      <c r="C12" s="120">
        <v>47985000</v>
      </c>
      <c r="D12" s="121">
        <v>46506753.700000003</v>
      </c>
      <c r="E12" s="120">
        <f>'Anexo IV - Despesas Analíticas'!C13</f>
        <v>55304500</v>
      </c>
      <c r="F12" s="121">
        <f>'Anexo IV - Despesas Analíticas'!D13</f>
        <v>21615997.689999998</v>
      </c>
      <c r="G12" s="237">
        <f>SUM(Tabela12[[#This Row],[GOVERNANÇA
Direção e Liderança]:[GESTÃO
Infraestrutura
]])</f>
        <v>65757700</v>
      </c>
      <c r="H12" s="225">
        <f>Tabela12[[#This Row],[Proposta Orçamentária 2023]]/Tabela12[[#This Row],[Orçado
2022]]</f>
        <v>1.1890117440714589</v>
      </c>
      <c r="I12" s="120">
        <f>'Anexo IV - Despesas Analíticas'!I13</f>
        <v>11377045</v>
      </c>
      <c r="J12" s="19">
        <f>'Anexo IV - Despesas Analíticas'!J13</f>
        <v>7939425</v>
      </c>
      <c r="K12" s="19">
        <f>'Anexo IV - Despesas Analíticas'!K13</f>
        <v>4811875</v>
      </c>
      <c r="L12" s="121">
        <f>'Anexo IV - Despesas Analíticas'!L13</f>
        <v>10183050</v>
      </c>
      <c r="M12" s="19">
        <f>'Anexo IV - Despesas Analíticas'!M13</f>
        <v>635480</v>
      </c>
      <c r="N12" s="19">
        <f>'Anexo IV - Despesas Analíticas'!N13</f>
        <v>0</v>
      </c>
      <c r="O12" s="121">
        <f>'Anexo IV - Despesas Analíticas'!O13</f>
        <v>9702205</v>
      </c>
      <c r="P12" s="19">
        <f>'Anexo IV - Despesas Analíticas'!P13</f>
        <v>4401380</v>
      </c>
      <c r="Q12" s="19">
        <f>'Anexo IV - Despesas Analíticas'!Q13</f>
        <v>12189845</v>
      </c>
      <c r="R12" s="19">
        <f>'Anexo IV - Despesas Analíticas'!R13</f>
        <v>2401165</v>
      </c>
      <c r="S12" s="177">
        <f>'Anexo IV - Despesas Analíticas'!S13</f>
        <v>2116230</v>
      </c>
    </row>
    <row r="13" spans="1:21" ht="12.75" customHeight="1" x14ac:dyDescent="0.25">
      <c r="A13" s="100" t="s">
        <v>145</v>
      </c>
      <c r="B13" s="71" t="s">
        <v>662</v>
      </c>
      <c r="C13" s="120">
        <v>15160000</v>
      </c>
      <c r="D13" s="121">
        <v>14463213.880000001</v>
      </c>
      <c r="E13" s="120">
        <f>'Anexo IV - Despesas Analíticas'!C29</f>
        <v>15847000</v>
      </c>
      <c r="F13" s="121">
        <f>'Anexo IV - Despesas Analíticas'!D29</f>
        <v>6946742.7599999998</v>
      </c>
      <c r="G13" s="237">
        <f>SUM(Tabela12[[#This Row],[GOVERNANÇA
Direção e Liderança]:[GESTÃO
Infraestrutura
]])</f>
        <v>21524300</v>
      </c>
      <c r="H13" s="225">
        <f>Tabela12[[#This Row],[Proposta Orçamentária 2023]]/Tabela12[[#This Row],[Orçado
2022]]</f>
        <v>1.3582570833596264</v>
      </c>
      <c r="I13" s="120">
        <f>'Anexo IV - Despesas Analíticas'!I29</f>
        <v>3746035</v>
      </c>
      <c r="J13" s="19">
        <f>'Anexo IV - Despesas Analíticas'!J29</f>
        <v>2594000</v>
      </c>
      <c r="K13" s="19">
        <f>'Anexo IV - Despesas Analíticas'!K29</f>
        <v>1573515</v>
      </c>
      <c r="L13" s="121">
        <f>'Anexo IV - Despesas Analíticas'!L29</f>
        <v>3334585</v>
      </c>
      <c r="M13" s="19">
        <f>'Anexo IV - Despesas Analíticas'!M29</f>
        <v>209995</v>
      </c>
      <c r="N13" s="19">
        <f>'Anexo IV - Despesas Analíticas'!N29</f>
        <v>0</v>
      </c>
      <c r="O13" s="121">
        <f>'Anexo IV - Despesas Analíticas'!O29</f>
        <v>3181065</v>
      </c>
      <c r="P13" s="19">
        <f>'Anexo IV - Despesas Analíticas'!P29</f>
        <v>1435135</v>
      </c>
      <c r="Q13" s="19">
        <f>'Anexo IV - Despesas Analíticas'!Q29</f>
        <v>3965640</v>
      </c>
      <c r="R13" s="19">
        <f>'Anexo IV - Despesas Analíticas'!R29</f>
        <v>788115</v>
      </c>
      <c r="S13" s="177">
        <f>'Anexo IV - Despesas Analíticas'!S29</f>
        <v>696215</v>
      </c>
    </row>
    <row r="14" spans="1:21" s="5" customFormat="1" ht="12.75" customHeight="1" x14ac:dyDescent="0.25">
      <c r="A14" s="98" t="s">
        <v>151</v>
      </c>
      <c r="B14" s="25" t="s">
        <v>152</v>
      </c>
      <c r="C14" s="118">
        <f>C15+C16+C17+C22+C23+C24+C25</f>
        <v>70333000</v>
      </c>
      <c r="D14" s="119">
        <f>D15+D16+D17+D22+D23+D24+D25</f>
        <v>59448504.349999994</v>
      </c>
      <c r="E14" s="123">
        <f>E15+E16+E17+E22+E23+E24+E25</f>
        <v>127157494.62</v>
      </c>
      <c r="F14" s="122">
        <f>F15+F16+F17+F22+F23+F24+F25</f>
        <v>28202364.729999997</v>
      </c>
      <c r="G14" s="238">
        <f>SUM(Tabela12[[#This Row],[GOVERNANÇA
Direção e Liderança]:[GESTÃO
Infraestrutura
]])</f>
        <v>169893000</v>
      </c>
      <c r="H14" s="240">
        <f>Tabela12[[#This Row],[Proposta Orçamentária 2023]]/Tabela12[[#This Row],[Orçado
2022]]</f>
        <v>1.3360832604300017</v>
      </c>
      <c r="I14" s="118">
        <f t="shared" ref="I14:S14" si="12">I15+I16+I17+I22+I23+I24+I25</f>
        <v>18220850</v>
      </c>
      <c r="J14" s="20">
        <f t="shared" si="12"/>
        <v>20362070</v>
      </c>
      <c r="K14" s="20">
        <f t="shared" si="12"/>
        <v>9468645</v>
      </c>
      <c r="L14" s="119">
        <f t="shared" si="12"/>
        <v>4927890</v>
      </c>
      <c r="M14" s="20">
        <f t="shared" si="12"/>
        <v>837110</v>
      </c>
      <c r="N14" s="20">
        <f t="shared" si="12"/>
        <v>200000</v>
      </c>
      <c r="O14" s="119">
        <f t="shared" si="12"/>
        <v>9041190</v>
      </c>
      <c r="P14" s="20">
        <f t="shared" si="12"/>
        <v>55332800</v>
      </c>
      <c r="Q14" s="20">
        <f t="shared" si="12"/>
        <v>5623550</v>
      </c>
      <c r="R14" s="20">
        <f t="shared" si="12"/>
        <v>31645300</v>
      </c>
      <c r="S14" s="176">
        <f t="shared" si="12"/>
        <v>14233595</v>
      </c>
    </row>
    <row r="15" spans="1:21" ht="12.75" customHeight="1" x14ac:dyDescent="0.25">
      <c r="A15" s="100" t="s">
        <v>153</v>
      </c>
      <c r="B15" s="71" t="s">
        <v>663</v>
      </c>
      <c r="C15" s="120">
        <v>9781000</v>
      </c>
      <c r="D15" s="121">
        <v>9402351.9900000002</v>
      </c>
      <c r="E15" s="120">
        <f>'Anexo IV - Despesas Analíticas'!C34</f>
        <v>11229500</v>
      </c>
      <c r="F15" s="121">
        <f>'Anexo IV - Despesas Analíticas'!D34</f>
        <v>4423003.84</v>
      </c>
      <c r="G15" s="237">
        <f>SUM(Tabela12[[#This Row],[GOVERNANÇA
Direção e Liderança]:[GESTÃO
Infraestrutura
]])</f>
        <v>11821100</v>
      </c>
      <c r="H15" s="225">
        <f>Tabela12[[#This Row],[Proposta Orçamentária 2023]]/Tabela12[[#This Row],[Orçado
2022]]</f>
        <v>1.0526826661917272</v>
      </c>
      <c r="I15" s="120">
        <f>'Anexo IV - Despesas Analíticas'!I34</f>
        <v>1093075</v>
      </c>
      <c r="J15" s="19">
        <f>'Anexo IV - Despesas Analíticas'!J34</f>
        <v>1256470</v>
      </c>
      <c r="K15" s="19">
        <f>'Anexo IV - Despesas Analíticas'!K34</f>
        <v>423665</v>
      </c>
      <c r="L15" s="121">
        <f>'Anexo IV - Despesas Analíticas'!L34</f>
        <v>2151070</v>
      </c>
      <c r="M15" s="19">
        <f>'Anexo IV - Despesas Analíticas'!M34</f>
        <v>141705</v>
      </c>
      <c r="N15" s="19">
        <f>'Anexo IV - Despesas Analíticas'!N34</f>
        <v>0</v>
      </c>
      <c r="O15" s="121">
        <f>'Anexo IV - Despesas Analíticas'!O34</f>
        <v>1970420</v>
      </c>
      <c r="P15" s="19">
        <f>'Anexo IV - Despesas Analíticas'!P34</f>
        <v>841795</v>
      </c>
      <c r="Q15" s="19">
        <f>'Anexo IV - Despesas Analíticas'!Q34</f>
        <v>2603615</v>
      </c>
      <c r="R15" s="19">
        <f>'Anexo IV - Despesas Analíticas'!R34</f>
        <v>608635</v>
      </c>
      <c r="S15" s="177">
        <f>'Anexo IV - Despesas Analíticas'!S34</f>
        <v>730650</v>
      </c>
    </row>
    <row r="16" spans="1:21" ht="12.75" customHeight="1" x14ac:dyDescent="0.25">
      <c r="A16" s="100" t="s">
        <v>161</v>
      </c>
      <c r="B16" s="71" t="s">
        <v>664</v>
      </c>
      <c r="C16" s="120">
        <v>1385000</v>
      </c>
      <c r="D16" s="121">
        <v>1233315.54</v>
      </c>
      <c r="E16" s="120">
        <f>'Anexo IV - Despesas Analíticas'!C41</f>
        <v>1771500</v>
      </c>
      <c r="F16" s="121">
        <f>'Anexo IV - Despesas Analíticas'!D41</f>
        <v>686463.13</v>
      </c>
      <c r="G16" s="237">
        <f>SUM(Tabela12[[#This Row],[GOVERNANÇA
Direção e Liderança]:[GESTÃO
Infraestrutura
]])</f>
        <v>2396900</v>
      </c>
      <c r="H16" s="225">
        <f>Tabela12[[#This Row],[Proposta Orçamentária 2023]]/Tabela12[[#This Row],[Orçado
2022]]</f>
        <v>1.3530341518487157</v>
      </c>
      <c r="I16" s="120">
        <f>'Anexo IV - Despesas Analíticas'!I41</f>
        <v>200320</v>
      </c>
      <c r="J16" s="19">
        <f>'Anexo IV - Despesas Analíticas'!J41</f>
        <v>247520</v>
      </c>
      <c r="K16" s="19">
        <f>'Anexo IV - Despesas Analíticas'!K41</f>
        <v>85900</v>
      </c>
      <c r="L16" s="121">
        <f>'Anexo IV - Despesas Analíticas'!L41</f>
        <v>408970</v>
      </c>
      <c r="M16" s="19">
        <f>'Anexo IV - Despesas Analíticas'!M41</f>
        <v>50405</v>
      </c>
      <c r="N16" s="19">
        <f>'Anexo IV - Despesas Analíticas'!N41</f>
        <v>0</v>
      </c>
      <c r="O16" s="121">
        <f>'Anexo IV - Despesas Analíticas'!O41</f>
        <v>305180</v>
      </c>
      <c r="P16" s="19">
        <f>'Anexo IV - Despesas Analíticas'!P41</f>
        <v>142665</v>
      </c>
      <c r="Q16" s="19">
        <f>'Anexo IV - Despesas Analíticas'!Q41</f>
        <v>693680</v>
      </c>
      <c r="R16" s="19">
        <f>'Anexo IV - Despesas Analíticas'!R41</f>
        <v>142665</v>
      </c>
      <c r="S16" s="177">
        <f>'Anexo IV - Despesas Analíticas'!S41</f>
        <v>119595</v>
      </c>
    </row>
    <row r="17" spans="1:20" ht="12.75" customHeight="1" x14ac:dyDescent="0.25">
      <c r="A17" s="100" t="s">
        <v>167</v>
      </c>
      <c r="B17" s="71" t="s">
        <v>665</v>
      </c>
      <c r="C17" s="118">
        <f>SUM(C18:C21)</f>
        <v>2399000</v>
      </c>
      <c r="D17" s="121">
        <f>SUM(D18:D21)</f>
        <v>1907402.8800000001</v>
      </c>
      <c r="E17" s="120">
        <f>SUM(E18:E21)</f>
        <v>2564800</v>
      </c>
      <c r="F17" s="121">
        <f>SUM(F18:F21)</f>
        <v>436698</v>
      </c>
      <c r="G17" s="237">
        <f>SUM(Tabela12[[#This Row],[GOVERNANÇA
Direção e Liderança]:[GESTÃO
Infraestrutura
]])</f>
        <v>4362000</v>
      </c>
      <c r="H17" s="225">
        <f>Tabela12[[#This Row],[Proposta Orçamentária 2023]]/Tabela12[[#This Row],[Orçado
2022]]</f>
        <v>1.7007174048658764</v>
      </c>
      <c r="I17" s="120">
        <f t="shared" ref="I17:S17" si="13">SUM(I18:I21)</f>
        <v>301500</v>
      </c>
      <c r="J17" s="19">
        <f t="shared" si="13"/>
        <v>51100</v>
      </c>
      <c r="K17" s="19">
        <f t="shared" si="13"/>
        <v>20000</v>
      </c>
      <c r="L17" s="121">
        <f t="shared" si="13"/>
        <v>0</v>
      </c>
      <c r="M17" s="19">
        <f t="shared" si="13"/>
        <v>0</v>
      </c>
      <c r="N17" s="19">
        <f t="shared" si="13"/>
        <v>0</v>
      </c>
      <c r="O17" s="121">
        <f t="shared" si="13"/>
        <v>860400</v>
      </c>
      <c r="P17" s="19">
        <f t="shared" si="13"/>
        <v>0</v>
      </c>
      <c r="Q17" s="19">
        <f t="shared" si="13"/>
        <v>0</v>
      </c>
      <c r="R17" s="19">
        <f t="shared" si="13"/>
        <v>3000000</v>
      </c>
      <c r="S17" s="177">
        <f t="shared" si="13"/>
        <v>129000</v>
      </c>
    </row>
    <row r="18" spans="1:20" ht="12.75" customHeight="1" x14ac:dyDescent="0.25">
      <c r="A18" s="100" t="s">
        <v>169</v>
      </c>
      <c r="B18" s="71" t="s">
        <v>666</v>
      </c>
      <c r="C18" s="120">
        <v>1234000</v>
      </c>
      <c r="D18" s="121">
        <v>949087.91</v>
      </c>
      <c r="E18" s="120">
        <f>'Anexo IV - Despesas Analíticas'!C47</f>
        <v>1413500</v>
      </c>
      <c r="F18" s="121">
        <f>'Anexo IV - Despesas Analíticas'!D47</f>
        <v>14325.67</v>
      </c>
      <c r="G18" s="237">
        <f>SUM(Tabela12[[#This Row],[GOVERNANÇA
Direção e Liderança]:[GESTÃO
Infraestrutura
]])</f>
        <v>3105000</v>
      </c>
      <c r="H18" s="225">
        <f>Tabela12[[#This Row],[Proposta Orçamentária 2023]]/Tabela12[[#This Row],[Orçado
2022]]</f>
        <v>2.1966749204103291</v>
      </c>
      <c r="I18" s="120">
        <f>'Anexo IV - Despesas Analíticas'!I47</f>
        <v>0</v>
      </c>
      <c r="J18" s="19">
        <f>'Anexo IV - Despesas Analíticas'!J47</f>
        <v>0</v>
      </c>
      <c r="K18" s="19">
        <f>'Anexo IV - Despesas Analíticas'!K47</f>
        <v>0</v>
      </c>
      <c r="L18" s="121">
        <f>'Anexo IV - Despesas Analíticas'!L47</f>
        <v>0</v>
      </c>
      <c r="M18" s="19">
        <f>'Anexo IV - Despesas Analíticas'!M47</f>
        <v>0</v>
      </c>
      <c r="N18" s="19">
        <f>'Anexo IV - Despesas Analíticas'!N47</f>
        <v>0</v>
      </c>
      <c r="O18" s="121">
        <f>'Anexo IV - Despesas Analíticas'!O47</f>
        <v>0</v>
      </c>
      <c r="P18" s="19">
        <f>'Anexo IV - Despesas Analíticas'!P47</f>
        <v>0</v>
      </c>
      <c r="Q18" s="19">
        <f>'Anexo IV - Despesas Analíticas'!Q47</f>
        <v>0</v>
      </c>
      <c r="R18" s="19">
        <f>'Anexo IV - Despesas Analíticas'!R47</f>
        <v>3000000</v>
      </c>
      <c r="S18" s="177">
        <f>'Anexo IV - Despesas Analíticas'!S47</f>
        <v>105000</v>
      </c>
    </row>
    <row r="19" spans="1:20" ht="12.75" customHeight="1" x14ac:dyDescent="0.25">
      <c r="A19" s="100" t="s">
        <v>180</v>
      </c>
      <c r="B19" s="71" t="s">
        <v>667</v>
      </c>
      <c r="C19" s="120">
        <v>20000</v>
      </c>
      <c r="D19" s="121">
        <v>17681.04</v>
      </c>
      <c r="E19" s="120">
        <f>'Anexo IV - Despesas Analíticas'!C56</f>
        <v>30000</v>
      </c>
      <c r="F19" s="121">
        <f>'Anexo IV - Despesas Analíticas'!D56</f>
        <v>9401.9</v>
      </c>
      <c r="G19" s="237">
        <f>SUM(Tabela12[[#This Row],[GOVERNANÇA
Direção e Liderança]:[GESTÃO
Infraestrutura
]])</f>
        <v>24000</v>
      </c>
      <c r="H19" s="225">
        <f>Tabela12[[#This Row],[Proposta Orçamentária 2023]]/Tabela12[[#This Row],[Orçado
2022]]</f>
        <v>0.8</v>
      </c>
      <c r="I19" s="120">
        <f>'Anexo IV - Despesas Analíticas'!I56</f>
        <v>0</v>
      </c>
      <c r="J19" s="19">
        <f>'Anexo IV - Despesas Analíticas'!J56</f>
        <v>0</v>
      </c>
      <c r="K19" s="19">
        <f>'Anexo IV - Despesas Analíticas'!K56</f>
        <v>0</v>
      </c>
      <c r="L19" s="121">
        <f>'Anexo IV - Despesas Analíticas'!L56</f>
        <v>0</v>
      </c>
      <c r="M19" s="19">
        <f>'Anexo IV - Despesas Analíticas'!M56</f>
        <v>0</v>
      </c>
      <c r="N19" s="19">
        <f>'Anexo IV - Despesas Analíticas'!N56</f>
        <v>0</v>
      </c>
      <c r="O19" s="121">
        <f>'Anexo IV - Despesas Analíticas'!O56</f>
        <v>0</v>
      </c>
      <c r="P19" s="19">
        <f>'Anexo IV - Despesas Analíticas'!P56</f>
        <v>0</v>
      </c>
      <c r="Q19" s="19">
        <f>'Anexo IV - Despesas Analíticas'!Q56</f>
        <v>0</v>
      </c>
      <c r="R19" s="19">
        <f>'Anexo IV - Despesas Analíticas'!R56</f>
        <v>0</v>
      </c>
      <c r="S19" s="177">
        <f>'Anexo IV - Despesas Analíticas'!S56</f>
        <v>24000</v>
      </c>
      <c r="T19" s="10"/>
    </row>
    <row r="20" spans="1:20" ht="12.75" customHeight="1" x14ac:dyDescent="0.25">
      <c r="A20" s="100" t="s">
        <v>183</v>
      </c>
      <c r="B20" s="71" t="s">
        <v>1366</v>
      </c>
      <c r="C20" s="120">
        <v>0</v>
      </c>
      <c r="D20" s="121">
        <v>0</v>
      </c>
      <c r="E20" s="120">
        <f>'Anexo IV - Despesas Analíticas'!C59</f>
        <v>5800</v>
      </c>
      <c r="F20" s="121">
        <f>'Anexo IV - Despesas Analíticas'!D59</f>
        <v>5600</v>
      </c>
      <c r="G20" s="237">
        <f>SUM(Tabela12[[#This Row],[GOVERNANÇA
Direção e Liderança]:[GESTÃO
Infraestrutura
]])</f>
        <v>0</v>
      </c>
      <c r="H20" s="225">
        <f>Tabela12[[#This Row],[Proposta Orçamentária 2023]]/Tabela12[[#This Row],[Orçado
2022]]</f>
        <v>0</v>
      </c>
      <c r="I20" s="120">
        <f>'Anexo IV - Despesas Analíticas'!I58</f>
        <v>0</v>
      </c>
      <c r="J20" s="19">
        <f>'Anexo IV - Despesas Analíticas'!J58</f>
        <v>0</v>
      </c>
      <c r="K20" s="19">
        <f>'Anexo IV - Despesas Analíticas'!K58</f>
        <v>0</v>
      </c>
      <c r="L20" s="121">
        <f>'Anexo IV - Despesas Analíticas'!L58</f>
        <v>0</v>
      </c>
      <c r="M20" s="19">
        <f>'Anexo IV - Despesas Analíticas'!M58</f>
        <v>0</v>
      </c>
      <c r="N20" s="19">
        <f>'Anexo IV - Despesas Analíticas'!N58</f>
        <v>0</v>
      </c>
      <c r="O20" s="121">
        <f>'Anexo IV - Despesas Analíticas'!O58</f>
        <v>0</v>
      </c>
      <c r="P20" s="19">
        <f>'Anexo IV - Despesas Analíticas'!P58</f>
        <v>0</v>
      </c>
      <c r="Q20" s="19">
        <f>'Anexo IV - Despesas Analíticas'!Q58</f>
        <v>0</v>
      </c>
      <c r="R20" s="19">
        <f>'Anexo IV - Despesas Analíticas'!R58</f>
        <v>0</v>
      </c>
      <c r="S20" s="177">
        <f>'Anexo IV - Despesas Analíticas'!S58</f>
        <v>0</v>
      </c>
      <c r="T20" s="10"/>
    </row>
    <row r="21" spans="1:20" ht="12.75" customHeight="1" x14ac:dyDescent="0.25">
      <c r="A21" s="100" t="s">
        <v>184</v>
      </c>
      <c r="B21" s="71" t="s">
        <v>668</v>
      </c>
      <c r="C21" s="120">
        <v>1145000</v>
      </c>
      <c r="D21" s="121">
        <v>940633.93</v>
      </c>
      <c r="E21" s="120">
        <f>'Anexo IV - Despesas Analíticas'!C60</f>
        <v>1115500</v>
      </c>
      <c r="F21" s="121">
        <f>'Anexo IV - Despesas Analíticas'!D60</f>
        <v>407370.43</v>
      </c>
      <c r="G21" s="237">
        <f>SUM(Tabela12[[#This Row],[GOVERNANÇA
Direção e Liderança]:[GESTÃO
Infraestrutura
]])</f>
        <v>1233000</v>
      </c>
      <c r="H21" s="225">
        <f>Tabela12[[#This Row],[Proposta Orçamentária 2023]]/Tabela12[[#This Row],[Orçado
2022]]</f>
        <v>1.105333930972658</v>
      </c>
      <c r="I21" s="120">
        <f>'Anexo IV - Despesas Analíticas'!I60</f>
        <v>301500</v>
      </c>
      <c r="J21" s="19">
        <f>'Anexo IV - Despesas Analíticas'!J60</f>
        <v>51100</v>
      </c>
      <c r="K21" s="19">
        <f>'Anexo IV - Despesas Analíticas'!K60</f>
        <v>20000</v>
      </c>
      <c r="L21" s="121">
        <f>'Anexo IV - Despesas Analíticas'!L60</f>
        <v>0</v>
      </c>
      <c r="M21" s="19">
        <f>'Anexo IV - Despesas Analíticas'!M60</f>
        <v>0</v>
      </c>
      <c r="N21" s="19">
        <f>'Anexo IV - Despesas Analíticas'!N60</f>
        <v>0</v>
      </c>
      <c r="O21" s="121">
        <f>'Anexo IV - Despesas Analíticas'!O60</f>
        <v>860400</v>
      </c>
      <c r="P21" s="19">
        <f>'Anexo IV - Despesas Analíticas'!P60</f>
        <v>0</v>
      </c>
      <c r="Q21" s="19">
        <f>'Anexo IV - Despesas Analíticas'!Q60</f>
        <v>0</v>
      </c>
      <c r="R21" s="19">
        <f>'Anexo IV - Despesas Analíticas'!R60</f>
        <v>0</v>
      </c>
      <c r="S21" s="177">
        <f>'Anexo IV - Despesas Analíticas'!S60</f>
        <v>0</v>
      </c>
    </row>
    <row r="22" spans="1:20" s="105" customFormat="1" ht="12.75" customHeight="1" x14ac:dyDescent="0.25">
      <c r="A22" s="100" t="s">
        <v>187</v>
      </c>
      <c r="B22" s="71" t="s">
        <v>669</v>
      </c>
      <c r="C22" s="120">
        <v>7381855</v>
      </c>
      <c r="D22" s="121">
        <v>5324059.8</v>
      </c>
      <c r="E22" s="120">
        <f>'Anexo IV - Despesas Analíticas'!C64</f>
        <v>18689075</v>
      </c>
      <c r="F22" s="121">
        <f>'Anexo IV - Despesas Analíticas'!D64</f>
        <v>3849389.9299999997</v>
      </c>
      <c r="G22" s="237">
        <f>SUM(Tabela12[[#This Row],[GOVERNANÇA
Direção e Liderança]:[GESTÃO
Infraestrutura
]])</f>
        <v>22848000</v>
      </c>
      <c r="H22" s="225">
        <f>Tabela12[[#This Row],[Proposta Orçamentária 2023]]/Tabela12[[#This Row],[Orçado
2022]]</f>
        <v>1.2225324153282064</v>
      </c>
      <c r="I22" s="120">
        <f>'Anexo IV - Despesas Analíticas'!I64</f>
        <v>7185400</v>
      </c>
      <c r="J22" s="19">
        <f>'Anexo IV - Despesas Analíticas'!J64</f>
        <v>9414200</v>
      </c>
      <c r="K22" s="19">
        <f>'Anexo IV - Despesas Analíticas'!K64</f>
        <v>1949500</v>
      </c>
      <c r="L22" s="121">
        <f>'Anexo IV - Despesas Analíticas'!L64</f>
        <v>422200</v>
      </c>
      <c r="M22" s="19">
        <f>'Anexo IV - Despesas Analíticas'!M64</f>
        <v>261000</v>
      </c>
      <c r="N22" s="19">
        <f>'Anexo IV - Despesas Analíticas'!N64</f>
        <v>95000</v>
      </c>
      <c r="O22" s="121">
        <f>'Anexo IV - Despesas Analíticas'!O64</f>
        <v>2904750</v>
      </c>
      <c r="P22" s="19">
        <f>'Anexo IV - Despesas Analíticas'!P64</f>
        <v>363500</v>
      </c>
      <c r="Q22" s="19">
        <f>'Anexo IV - Despesas Analíticas'!Q64</f>
        <v>221950</v>
      </c>
      <c r="R22" s="19">
        <f>'Anexo IV - Despesas Analíticas'!R64</f>
        <v>30500</v>
      </c>
      <c r="S22" s="177">
        <f>'Anexo IV - Despesas Analíticas'!S64</f>
        <v>0</v>
      </c>
    </row>
    <row r="23" spans="1:20" s="105" customFormat="1" ht="12.75" customHeight="1" x14ac:dyDescent="0.25">
      <c r="A23" s="100" t="s">
        <v>192</v>
      </c>
      <c r="B23" s="71" t="s">
        <v>670</v>
      </c>
      <c r="C23" s="120">
        <v>499450</v>
      </c>
      <c r="D23" s="121">
        <v>281533.86</v>
      </c>
      <c r="E23" s="120">
        <f>'Anexo IV - Despesas Analíticas'!C68</f>
        <v>2032049.62</v>
      </c>
      <c r="F23" s="121">
        <f>'Anexo IV - Despesas Analíticas'!D68</f>
        <v>239792.03000000003</v>
      </c>
      <c r="G23" s="237">
        <f>SUM(Tabela12[[#This Row],[GOVERNANÇA
Direção e Liderança]:[GESTÃO
Infraestrutura
]])</f>
        <v>2915000</v>
      </c>
      <c r="H23" s="225">
        <f>Tabela12[[#This Row],[Proposta Orçamentária 2023]]/Tabela12[[#This Row],[Orçado
2022]]</f>
        <v>1.4345122143227977</v>
      </c>
      <c r="I23" s="120">
        <f>'Anexo IV - Despesas Analíticas'!I68</f>
        <v>400250</v>
      </c>
      <c r="J23" s="19">
        <f>'Anexo IV - Despesas Analíticas'!J68</f>
        <v>2125125</v>
      </c>
      <c r="K23" s="19">
        <f>'Anexo IV - Despesas Analíticas'!K68</f>
        <v>87105</v>
      </c>
      <c r="L23" s="121">
        <f>'Anexo IV - Despesas Analíticas'!L68</f>
        <v>15905</v>
      </c>
      <c r="M23" s="19">
        <f>'Anexo IV - Despesas Analíticas'!M68</f>
        <v>28745</v>
      </c>
      <c r="N23" s="19">
        <f>'Anexo IV - Despesas Analíticas'!N68</f>
        <v>4000</v>
      </c>
      <c r="O23" s="121">
        <f>'Anexo IV - Despesas Analíticas'!O68</f>
        <v>216225</v>
      </c>
      <c r="P23" s="19">
        <f>'Anexo IV - Despesas Analíticas'!P68</f>
        <v>26585</v>
      </c>
      <c r="Q23" s="19">
        <f>'Anexo IV - Despesas Analíticas'!Q68</f>
        <v>8985</v>
      </c>
      <c r="R23" s="19">
        <f>'Anexo IV - Despesas Analíticas'!R68</f>
        <v>2075</v>
      </c>
      <c r="S23" s="177">
        <f>'Anexo IV - Despesas Analíticas'!S68</f>
        <v>0</v>
      </c>
    </row>
    <row r="24" spans="1:20" s="105" customFormat="1" ht="12.75" customHeight="1" x14ac:dyDescent="0.25">
      <c r="A24" s="100" t="s">
        <v>197</v>
      </c>
      <c r="B24" s="71" t="s">
        <v>671</v>
      </c>
      <c r="C24" s="120">
        <v>346495</v>
      </c>
      <c r="D24" s="121">
        <v>187222.48</v>
      </c>
      <c r="E24" s="120">
        <f>'Anexo IV - Despesas Analíticas'!C72</f>
        <v>814105</v>
      </c>
      <c r="F24" s="121">
        <f>'Anexo IV - Despesas Analíticas'!D72</f>
        <v>147820.71</v>
      </c>
      <c r="G24" s="237">
        <f>SUM(Tabela12[[#This Row],[GOVERNANÇA
Direção e Liderança]:[GESTÃO
Infraestrutura
]])</f>
        <v>891000</v>
      </c>
      <c r="H24" s="225">
        <f>Tabela12[[#This Row],[Proposta Orçamentária 2023]]/Tabela12[[#This Row],[Orçado
2022]]</f>
        <v>1.0944534181708747</v>
      </c>
      <c r="I24" s="120">
        <f>'Anexo IV - Despesas Analíticas'!I72</f>
        <v>264305</v>
      </c>
      <c r="J24" s="19">
        <f>'Anexo IV - Despesas Analíticas'!J72</f>
        <v>315305</v>
      </c>
      <c r="K24" s="19">
        <f>'Anexo IV - Despesas Analíticas'!K72</f>
        <v>113125</v>
      </c>
      <c r="L24" s="121">
        <f>'Anexo IV - Despesas Analíticas'!L72</f>
        <v>16895</v>
      </c>
      <c r="M24" s="19">
        <f>'Anexo IV - Despesas Analíticas'!M72</f>
        <v>17255</v>
      </c>
      <c r="N24" s="19">
        <f>'Anexo IV - Despesas Analíticas'!N72</f>
        <v>5000</v>
      </c>
      <c r="O24" s="121">
        <f>'Anexo IV - Despesas Analíticas'!O72</f>
        <v>128715</v>
      </c>
      <c r="P24" s="19">
        <f>'Anexo IV - Despesas Analíticas'!P72</f>
        <v>18905</v>
      </c>
      <c r="Q24" s="19">
        <f>'Anexo IV - Despesas Analíticas'!Q72</f>
        <v>10070</v>
      </c>
      <c r="R24" s="19">
        <f>'Anexo IV - Despesas Analíticas'!R72</f>
        <v>1425</v>
      </c>
      <c r="S24" s="177">
        <f>'Anexo IV - Despesas Analíticas'!S72</f>
        <v>0</v>
      </c>
    </row>
    <row r="25" spans="1:20" ht="12.75" customHeight="1" x14ac:dyDescent="0.25">
      <c r="A25" s="100" t="s">
        <v>201</v>
      </c>
      <c r="B25" s="71" t="s">
        <v>672</v>
      </c>
      <c r="C25" s="120">
        <v>48540200</v>
      </c>
      <c r="D25" s="121">
        <v>41112617.799999997</v>
      </c>
      <c r="E25" s="120">
        <f>'Anexo IV - Despesas Analíticas'!C76</f>
        <v>90056465</v>
      </c>
      <c r="F25" s="121">
        <f>'Anexo IV - Despesas Analíticas'!D76</f>
        <v>18419197.089999996</v>
      </c>
      <c r="G25" s="237">
        <f>SUM(Tabela12[[#This Row],[GOVERNANÇA
Direção e Liderança]:[GESTÃO
Infraestrutura
]])</f>
        <v>124659000</v>
      </c>
      <c r="H25" s="225">
        <f>Tabela12[[#This Row],[Proposta Orçamentária 2023]]/Tabela12[[#This Row],[Orçado
2022]]</f>
        <v>1.3842315485068173</v>
      </c>
      <c r="I25" s="120">
        <f>'Anexo IV - Despesas Analíticas'!I76</f>
        <v>8776000</v>
      </c>
      <c r="J25" s="19">
        <f>'Anexo IV - Despesas Analíticas'!J76</f>
        <v>6952350</v>
      </c>
      <c r="K25" s="19">
        <f>'Anexo IV - Despesas Analíticas'!K76</f>
        <v>6789350</v>
      </c>
      <c r="L25" s="121">
        <f>'Anexo IV - Despesas Analíticas'!L76</f>
        <v>1912850</v>
      </c>
      <c r="M25" s="19">
        <f>'Anexo IV - Despesas Analíticas'!M76</f>
        <v>338000</v>
      </c>
      <c r="N25" s="19">
        <f>'Anexo IV - Despesas Analíticas'!N76</f>
        <v>96000</v>
      </c>
      <c r="O25" s="121">
        <f>'Anexo IV - Despesas Analíticas'!O76</f>
        <v>2655500</v>
      </c>
      <c r="P25" s="19">
        <f>'Anexo IV - Despesas Analíticas'!P76</f>
        <v>53939350</v>
      </c>
      <c r="Q25" s="19">
        <f>'Anexo IV - Despesas Analíticas'!Q76</f>
        <v>2085250</v>
      </c>
      <c r="R25" s="19">
        <f>'Anexo IV - Despesas Analíticas'!R76</f>
        <v>27860000</v>
      </c>
      <c r="S25" s="177">
        <f>'Anexo IV - Despesas Analíticas'!S76</f>
        <v>13254350</v>
      </c>
    </row>
    <row r="26" spans="1:20" s="5" customFormat="1" ht="12.75" customHeight="1" x14ac:dyDescent="0.25">
      <c r="A26" s="98" t="s">
        <v>238</v>
      </c>
      <c r="B26" s="25" t="s">
        <v>239</v>
      </c>
      <c r="C26" s="118">
        <f>SUM(C27:C27)</f>
        <v>145000</v>
      </c>
      <c r="D26" s="119">
        <f>SUM(D27:D27)</f>
        <v>70229.05</v>
      </c>
      <c r="E26" s="118">
        <f>SUM(E27:E27)</f>
        <v>123000</v>
      </c>
      <c r="F26" s="119">
        <f>SUM(F27:F27)</f>
        <v>41702.129999999997</v>
      </c>
      <c r="G26" s="236">
        <f>SUM(Tabela12[[#This Row],[GOVERNANÇA
Direção e Liderança]:[GESTÃO
Infraestrutura
]])</f>
        <v>120000</v>
      </c>
      <c r="H26" s="222">
        <f>Tabela12[[#This Row],[Proposta Orçamentária 2023]]/Tabela12[[#This Row],[Orçado
2022]]</f>
        <v>0.97560975609756095</v>
      </c>
      <c r="I26" s="118">
        <f t="shared" ref="I26:J26" si="14">SUM(I27:I27)</f>
        <v>0</v>
      </c>
      <c r="J26" s="20">
        <f t="shared" si="14"/>
        <v>90000</v>
      </c>
      <c r="K26" s="20">
        <f t="shared" ref="K26" si="15">SUM(K27:K27)</f>
        <v>5000</v>
      </c>
      <c r="L26" s="119">
        <f t="shared" ref="L26" si="16">SUM(L27:L27)</f>
        <v>20000</v>
      </c>
      <c r="M26" s="20">
        <f t="shared" ref="M26" si="17">SUM(M27:M27)</f>
        <v>0</v>
      </c>
      <c r="N26" s="20">
        <f t="shared" ref="N26" si="18">SUM(N27:N27)</f>
        <v>0</v>
      </c>
      <c r="O26" s="119">
        <f t="shared" ref="O26" si="19">SUM(O27:O27)</f>
        <v>0</v>
      </c>
      <c r="P26" s="20">
        <f t="shared" ref="P26" si="20">SUM(P27:P27)</f>
        <v>0</v>
      </c>
      <c r="Q26" s="20">
        <f t="shared" ref="Q26" si="21">SUM(Q27:Q27)</f>
        <v>0</v>
      </c>
      <c r="R26" s="20">
        <f t="shared" ref="R26" si="22">SUM(R27:R27)</f>
        <v>0</v>
      </c>
      <c r="S26" s="176">
        <f t="shared" ref="S26" si="23">SUM(S27:S27)</f>
        <v>5000</v>
      </c>
    </row>
    <row r="27" spans="1:20" ht="12.75" customHeight="1" x14ac:dyDescent="0.25">
      <c r="A27" s="100" t="s">
        <v>240</v>
      </c>
      <c r="B27" s="71" t="s">
        <v>673</v>
      </c>
      <c r="C27" s="120">
        <v>145000</v>
      </c>
      <c r="D27" s="121">
        <v>70229.05</v>
      </c>
      <c r="E27" s="120">
        <f>'Anexo IV - Despesas Analíticas'!C117</f>
        <v>123000</v>
      </c>
      <c r="F27" s="121">
        <f>'Anexo IV - Despesas Analíticas'!D117</f>
        <v>41702.129999999997</v>
      </c>
      <c r="G27" s="237">
        <f>SUM(Tabela12[[#This Row],[GOVERNANÇA
Direção e Liderança]:[GESTÃO
Infraestrutura
]])</f>
        <v>120000</v>
      </c>
      <c r="H27" s="225">
        <f>Tabela12[[#This Row],[Proposta Orçamentária 2023]]/Tabela12[[#This Row],[Orçado
2022]]</f>
        <v>0.97560975609756095</v>
      </c>
      <c r="I27" s="120">
        <f>'Anexo IV - Despesas Analíticas'!I117</f>
        <v>0</v>
      </c>
      <c r="J27" s="19">
        <f>'Anexo IV - Despesas Analíticas'!J117</f>
        <v>90000</v>
      </c>
      <c r="K27" s="19">
        <f>'Anexo IV - Despesas Analíticas'!K117</f>
        <v>5000</v>
      </c>
      <c r="L27" s="121">
        <f>'Anexo IV - Despesas Analíticas'!L117</f>
        <v>20000</v>
      </c>
      <c r="M27" s="19">
        <f>'Anexo IV - Despesas Analíticas'!M117</f>
        <v>0</v>
      </c>
      <c r="N27" s="19">
        <f>'Anexo IV - Despesas Analíticas'!N117</f>
        <v>0</v>
      </c>
      <c r="O27" s="121">
        <f>'Anexo IV - Despesas Analíticas'!O117</f>
        <v>0</v>
      </c>
      <c r="P27" s="19">
        <f>'Anexo IV - Despesas Analíticas'!P117</f>
        <v>0</v>
      </c>
      <c r="Q27" s="19">
        <f>'Anexo IV - Despesas Analíticas'!Q117</f>
        <v>0</v>
      </c>
      <c r="R27" s="19">
        <f>'Anexo IV - Despesas Analíticas'!R117</f>
        <v>0</v>
      </c>
      <c r="S27" s="177">
        <f>'Anexo IV - Despesas Analíticas'!S117</f>
        <v>5000</v>
      </c>
    </row>
    <row r="28" spans="1:20" s="5" customFormat="1" ht="12.75" customHeight="1" x14ac:dyDescent="0.25">
      <c r="A28" s="98" t="s">
        <v>243</v>
      </c>
      <c r="B28" s="25" t="s">
        <v>244</v>
      </c>
      <c r="C28" s="118">
        <f>SUM(C29:C32)</f>
        <v>1656000</v>
      </c>
      <c r="D28" s="119">
        <f>SUM(D29:D32)</f>
        <v>1538821.04</v>
      </c>
      <c r="E28" s="118">
        <f>SUM(E29:E32)</f>
        <v>5079300</v>
      </c>
      <c r="F28" s="119">
        <f>SUM(F29:F32)</f>
        <v>736840.39</v>
      </c>
      <c r="G28" s="236">
        <f>SUM(Tabela12[[#This Row],[GOVERNANÇA
Direção e Liderança]:[GESTÃO
Infraestrutura
]])</f>
        <v>3370000</v>
      </c>
      <c r="H28" s="222">
        <f>Tabela12[[#This Row],[Proposta Orçamentária 2023]]/Tabela12[[#This Row],[Orçado
2022]]</f>
        <v>0.66347725080227593</v>
      </c>
      <c r="I28" s="118">
        <f t="shared" ref="I28" si="24">SUM(I29:I32)</f>
        <v>0</v>
      </c>
      <c r="J28" s="20">
        <f t="shared" ref="J28" si="25">SUM(J29:J32)</f>
        <v>0</v>
      </c>
      <c r="K28" s="20">
        <f t="shared" ref="K28" si="26">SUM(K29:K32)</f>
        <v>0</v>
      </c>
      <c r="L28" s="119">
        <f t="shared" ref="L28" si="27">SUM(L29:L32)</f>
        <v>1850000</v>
      </c>
      <c r="M28" s="20">
        <f t="shared" ref="M28" si="28">SUM(M29:M32)</f>
        <v>0</v>
      </c>
      <c r="N28" s="20">
        <f t="shared" ref="N28" si="29">SUM(N29:N32)</f>
        <v>0</v>
      </c>
      <c r="O28" s="119">
        <f t="shared" ref="O28" si="30">SUM(O29:O32)</f>
        <v>0</v>
      </c>
      <c r="P28" s="20">
        <f t="shared" ref="P28" si="31">SUM(P29:P32)</f>
        <v>0</v>
      </c>
      <c r="Q28" s="20">
        <f t="shared" ref="Q28" si="32">SUM(Q29:Q32)</f>
        <v>1500000</v>
      </c>
      <c r="R28" s="20">
        <f t="shared" ref="R28" si="33">SUM(R29:R32)</f>
        <v>0</v>
      </c>
      <c r="S28" s="176">
        <f t="shared" ref="S28" si="34">SUM(S29:S32)</f>
        <v>20000</v>
      </c>
    </row>
    <row r="29" spans="1:20" s="5" customFormat="1" ht="12.75" customHeight="1" x14ac:dyDescent="0.25">
      <c r="A29" s="100" t="s">
        <v>245</v>
      </c>
      <c r="B29" s="71" t="s">
        <v>674</v>
      </c>
      <c r="C29" s="120">
        <v>1066000</v>
      </c>
      <c r="D29" s="121">
        <v>968570.89</v>
      </c>
      <c r="E29" s="120">
        <f>'Anexo IV - Despesas Analíticas'!C122</f>
        <v>2510000</v>
      </c>
      <c r="F29" s="121">
        <f>'Anexo IV - Despesas Analíticas'!D122</f>
        <v>30822.91</v>
      </c>
      <c r="G29" s="237">
        <f>SUM(Tabela12[[#This Row],[GOVERNANÇA
Direção e Liderança]:[GESTÃO
Infraestrutura
]])</f>
        <v>1850000</v>
      </c>
      <c r="H29" s="225">
        <f>Tabela12[[#This Row],[Proposta Orçamentária 2023]]/Tabela12[[#This Row],[Orçado
2022]]</f>
        <v>0.73705179282868527</v>
      </c>
      <c r="I29" s="120">
        <f>'Anexo IV - Despesas Analíticas'!I122</f>
        <v>0</v>
      </c>
      <c r="J29" s="169">
        <v>0</v>
      </c>
      <c r="K29" s="19">
        <f>'Anexo IV - Despesas Analíticas'!K122</f>
        <v>0</v>
      </c>
      <c r="L29" s="121">
        <f>'Anexo IV - Despesas Analíticas'!L122</f>
        <v>1850000</v>
      </c>
      <c r="M29" s="19">
        <f>'Anexo IV - Despesas Analíticas'!M122</f>
        <v>0</v>
      </c>
      <c r="N29" s="19">
        <f>'Anexo IV - Despesas Analíticas'!N122</f>
        <v>0</v>
      </c>
      <c r="O29" s="121">
        <f>'Anexo IV - Despesas Analíticas'!O122</f>
        <v>0</v>
      </c>
      <c r="P29" s="19">
        <f>'Anexo IV - Despesas Analíticas'!P122</f>
        <v>0</v>
      </c>
      <c r="Q29" s="19">
        <f>'Anexo IV - Despesas Analíticas'!Q122</f>
        <v>0</v>
      </c>
      <c r="R29" s="19">
        <f>'Anexo IV - Despesas Analíticas'!R122</f>
        <v>0</v>
      </c>
      <c r="S29" s="177">
        <f>'Anexo IV - Despesas Analíticas'!S122</f>
        <v>0</v>
      </c>
    </row>
    <row r="30" spans="1:20" s="5" customFormat="1" ht="12.75" customHeight="1" x14ac:dyDescent="0.25">
      <c r="A30" s="100" t="s">
        <v>246</v>
      </c>
      <c r="B30" s="71" t="s">
        <v>842</v>
      </c>
      <c r="C30" s="120">
        <v>525000</v>
      </c>
      <c r="D30" s="121">
        <v>506853.82</v>
      </c>
      <c r="E30" s="120">
        <f>'Anexo IV - Despesas Analíticas'!C123</f>
        <v>2550300</v>
      </c>
      <c r="F30" s="121">
        <f>'Anexo IV - Despesas Analíticas'!D123</f>
        <v>699098.39</v>
      </c>
      <c r="G30" s="237">
        <f>SUM(Tabela12[[#This Row],[GOVERNANÇA
Direção e Liderança]:[GESTÃO
Infraestrutura
]])</f>
        <v>1500000</v>
      </c>
      <c r="H30" s="225">
        <f>Tabela12[[#This Row],[Proposta Orçamentária 2023]]/Tabela12[[#This Row],[Orçado
2022]]</f>
        <v>0.58816609810610521</v>
      </c>
      <c r="I30" s="120">
        <f>'Anexo IV - Despesas Analíticas'!I123</f>
        <v>0</v>
      </c>
      <c r="J30" s="19">
        <f>'Anexo IV - Despesas Analíticas'!J123</f>
        <v>0</v>
      </c>
      <c r="K30" s="19">
        <f>'Anexo IV - Despesas Analíticas'!K123</f>
        <v>0</v>
      </c>
      <c r="L30" s="121">
        <f>'Anexo IV - Despesas Analíticas'!L123</f>
        <v>0</v>
      </c>
      <c r="M30" s="19">
        <f>'Anexo IV - Despesas Analíticas'!M123</f>
        <v>0</v>
      </c>
      <c r="N30" s="19">
        <f>'Anexo IV - Despesas Analíticas'!N123</f>
        <v>0</v>
      </c>
      <c r="O30" s="121">
        <f>'Anexo IV - Despesas Analíticas'!O123</f>
        <v>0</v>
      </c>
      <c r="P30" s="19">
        <f>'Anexo IV - Despesas Analíticas'!P123</f>
        <v>0</v>
      </c>
      <c r="Q30" s="19">
        <f>'Anexo IV - Despesas Analíticas'!Q123</f>
        <v>1500000</v>
      </c>
      <c r="R30" s="19">
        <f>'Anexo IV - Despesas Analíticas'!R123</f>
        <v>0</v>
      </c>
      <c r="S30" s="177">
        <f>'Anexo IV - Despesas Analíticas'!S123</f>
        <v>0</v>
      </c>
    </row>
    <row r="31" spans="1:20" s="5" customFormat="1" ht="12.75" customHeight="1" x14ac:dyDescent="0.25">
      <c r="A31" s="100" t="s">
        <v>247</v>
      </c>
      <c r="B31" s="71" t="s">
        <v>675</v>
      </c>
      <c r="C31" s="120">
        <v>49500</v>
      </c>
      <c r="D31" s="121">
        <v>48190.27</v>
      </c>
      <c r="E31" s="120">
        <f>'Anexo IV - Despesas Analíticas'!C124</f>
        <v>0</v>
      </c>
      <c r="F31" s="121">
        <f>'Anexo IV - Despesas Analíticas'!D124</f>
        <v>0</v>
      </c>
      <c r="G31" s="237">
        <f>SUM(Tabela12[[#This Row],[GOVERNANÇA
Direção e Liderança]:[GESTÃO
Infraestrutura
]])</f>
        <v>0</v>
      </c>
      <c r="H31" s="265" t="e">
        <f>Tabela12[[#This Row],[Proposta Orçamentária 2023]]/Tabela12[[#This Row],[Orçado
2022]]</f>
        <v>#DIV/0!</v>
      </c>
      <c r="I31" s="120">
        <f>'Anexo IV - Despesas Analíticas'!I124</f>
        <v>0</v>
      </c>
      <c r="J31" s="19">
        <f>'Anexo IV - Despesas Analíticas'!J124</f>
        <v>0</v>
      </c>
      <c r="K31" s="19">
        <f>'Anexo IV - Despesas Analíticas'!K124</f>
        <v>0</v>
      </c>
      <c r="L31" s="121">
        <f>'Anexo IV - Despesas Analíticas'!L124</f>
        <v>0</v>
      </c>
      <c r="M31" s="19">
        <f>'Anexo IV - Despesas Analíticas'!M124</f>
        <v>0</v>
      </c>
      <c r="N31" s="19">
        <f>'Anexo IV - Despesas Analíticas'!N124</f>
        <v>0</v>
      </c>
      <c r="O31" s="121">
        <f>'Anexo IV - Despesas Analíticas'!O124</f>
        <v>0</v>
      </c>
      <c r="P31" s="19">
        <f>'Anexo IV - Despesas Analíticas'!P124</f>
        <v>0</v>
      </c>
      <c r="Q31" s="19">
        <f>'Anexo IV - Despesas Analíticas'!Q124</f>
        <v>0</v>
      </c>
      <c r="R31" s="19">
        <f>'Anexo IV - Despesas Analíticas'!R124</f>
        <v>0</v>
      </c>
      <c r="S31" s="177">
        <f>'Anexo IV - Despesas Analíticas'!S124</f>
        <v>0</v>
      </c>
    </row>
    <row r="32" spans="1:20" s="5" customFormat="1" ht="12.75" customHeight="1" x14ac:dyDescent="0.25">
      <c r="A32" s="100" t="s">
        <v>248</v>
      </c>
      <c r="B32" s="71" t="s">
        <v>676</v>
      </c>
      <c r="C32" s="120">
        <v>15500</v>
      </c>
      <c r="D32" s="121">
        <v>15206.06</v>
      </c>
      <c r="E32" s="120">
        <f>'Anexo IV - Despesas Analíticas'!C125</f>
        <v>19000</v>
      </c>
      <c r="F32" s="121">
        <f>'Anexo IV - Despesas Analíticas'!D125</f>
        <v>6919.09</v>
      </c>
      <c r="G32" s="237">
        <f>SUM(Tabela12[[#This Row],[GOVERNANÇA
Direção e Liderança]:[GESTÃO
Infraestrutura
]])</f>
        <v>20000</v>
      </c>
      <c r="H32" s="225">
        <f>Tabela12[[#This Row],[Proposta Orçamentária 2023]]/Tabela12[[#This Row],[Orçado
2022]]</f>
        <v>1.0526315789473684</v>
      </c>
      <c r="I32" s="120">
        <f>'Anexo IV - Despesas Analíticas'!I125</f>
        <v>0</v>
      </c>
      <c r="J32" s="19">
        <f>'Anexo IV - Despesas Analíticas'!J125</f>
        <v>0</v>
      </c>
      <c r="K32" s="19">
        <f>'Anexo IV - Despesas Analíticas'!K125</f>
        <v>0</v>
      </c>
      <c r="L32" s="121">
        <f>'Anexo IV - Despesas Analíticas'!L125</f>
        <v>0</v>
      </c>
      <c r="M32" s="19">
        <f>'Anexo IV - Despesas Analíticas'!M125</f>
        <v>0</v>
      </c>
      <c r="N32" s="19">
        <f>'Anexo IV - Despesas Analíticas'!N125</f>
        <v>0</v>
      </c>
      <c r="O32" s="121">
        <f>'Anexo IV - Despesas Analíticas'!O125</f>
        <v>0</v>
      </c>
      <c r="P32" s="19">
        <f>'Anexo IV - Despesas Analíticas'!P125</f>
        <v>0</v>
      </c>
      <c r="Q32" s="19">
        <f>'Anexo IV - Despesas Analíticas'!Q125</f>
        <v>0</v>
      </c>
      <c r="R32" s="19">
        <f>'Anexo IV - Despesas Analíticas'!R125</f>
        <v>0</v>
      </c>
      <c r="S32" s="177">
        <f>'Anexo IV - Despesas Analíticas'!S125</f>
        <v>20000</v>
      </c>
    </row>
    <row r="33" spans="1:24" ht="12.75" hidden="1" customHeight="1" x14ac:dyDescent="0.25">
      <c r="A33" s="100" t="s">
        <v>347</v>
      </c>
      <c r="B33" s="71" t="s">
        <v>249</v>
      </c>
      <c r="C33" s="120">
        <v>0</v>
      </c>
      <c r="D33" s="121">
        <v>0</v>
      </c>
      <c r="E33" s="120">
        <v>0</v>
      </c>
      <c r="F33" s="121">
        <v>0</v>
      </c>
      <c r="G33" s="237" t="e">
        <f>SUM(Tabela12[[#This Row],[GOVERNANÇA
Direção e Liderança]:[GESTÃO
Infraestrutura
]])</f>
        <v>#REF!</v>
      </c>
      <c r="H33" s="225" t="e">
        <f>Tabela12[[#This Row],[Proposta Orçamentária 2023]]/Tabela12[[#This Row],[Orçado
2022]]</f>
        <v>#REF!</v>
      </c>
      <c r="I33" s="120">
        <f>'Anexo IV - Despesas Analíticas'!I126</f>
        <v>0</v>
      </c>
      <c r="J33" s="19">
        <f>'Anexo IV - Despesas Analíticas'!J126</f>
        <v>5000</v>
      </c>
      <c r="K33" s="19">
        <f>'Anexo IV - Despesas Analíticas'!K126</f>
        <v>0</v>
      </c>
      <c r="L33" s="121">
        <f>'Anexo IV - Despesas Analíticas'!L126</f>
        <v>0</v>
      </c>
      <c r="M33" s="19">
        <f>'Anexo IV - Despesas Analíticas'!M126</f>
        <v>0</v>
      </c>
      <c r="N33" s="19">
        <f>'Anexo IV - Despesas Analíticas'!N126</f>
        <v>0</v>
      </c>
      <c r="O33" s="121">
        <f>'Anexo IV - Despesas Analíticas'!O126</f>
        <v>0</v>
      </c>
      <c r="P33" s="19" t="e">
        <f>'Anexo IV - Despesas Analíticas'!#REF!</f>
        <v>#REF!</v>
      </c>
      <c r="Q33" s="19">
        <f>'Anexo IV - Despesas Analíticas'!P126</f>
        <v>0</v>
      </c>
      <c r="R33" s="19">
        <f>'Anexo IV - Despesas Analíticas'!Q126</f>
        <v>950000</v>
      </c>
      <c r="S33" s="177">
        <f>'Anexo IV - Despesas Analíticas'!R126</f>
        <v>0</v>
      </c>
    </row>
    <row r="34" spans="1:24" ht="12.75" hidden="1" customHeight="1" x14ac:dyDescent="0.25">
      <c r="A34" s="100" t="s">
        <v>250</v>
      </c>
      <c r="B34" s="71" t="s">
        <v>251</v>
      </c>
      <c r="C34" s="120">
        <v>0</v>
      </c>
      <c r="D34" s="121">
        <v>0</v>
      </c>
      <c r="E34" s="120">
        <v>0</v>
      </c>
      <c r="F34" s="121">
        <v>0</v>
      </c>
      <c r="G34" s="237" t="e">
        <f>SUM(Tabela12[[#This Row],[GOVERNANÇA
Direção e Liderança]:[GESTÃO
Infraestrutura
]])</f>
        <v>#REF!</v>
      </c>
      <c r="H34" s="225" t="e">
        <f>Tabela12[[#This Row],[Proposta Orçamentária 2023]]/Tabela12[[#This Row],[Orçado
2022]]</f>
        <v>#REF!</v>
      </c>
      <c r="I34" s="120">
        <f>'Anexo IV - Despesas Analíticas'!I127</f>
        <v>0</v>
      </c>
      <c r="J34" s="19">
        <f>'Anexo IV - Despesas Analíticas'!J127</f>
        <v>5000</v>
      </c>
      <c r="K34" s="19">
        <f>'Anexo IV - Despesas Analíticas'!K127</f>
        <v>0</v>
      </c>
      <c r="L34" s="121">
        <f>'Anexo IV - Despesas Analíticas'!L127</f>
        <v>0</v>
      </c>
      <c r="M34" s="19">
        <f>'Anexo IV - Despesas Analíticas'!M127</f>
        <v>0</v>
      </c>
      <c r="N34" s="19">
        <f>'Anexo IV - Despesas Analíticas'!N127</f>
        <v>0</v>
      </c>
      <c r="O34" s="121">
        <f>'Anexo IV - Despesas Analíticas'!O127</f>
        <v>0</v>
      </c>
      <c r="P34" s="19" t="e">
        <f>'Anexo IV - Despesas Analíticas'!#REF!</f>
        <v>#REF!</v>
      </c>
      <c r="Q34" s="19">
        <f>'Anexo IV - Despesas Analíticas'!P127</f>
        <v>0</v>
      </c>
      <c r="R34" s="19">
        <f>'Anexo IV - Despesas Analíticas'!Q127</f>
        <v>100000</v>
      </c>
      <c r="S34" s="177">
        <f>'Anexo IV - Despesas Analíticas'!R127</f>
        <v>0</v>
      </c>
    </row>
    <row r="35" spans="1:24" ht="12.75" hidden="1" customHeight="1" x14ac:dyDescent="0.25">
      <c r="A35" s="100" t="s">
        <v>252</v>
      </c>
      <c r="B35" s="71" t="s">
        <v>253</v>
      </c>
      <c r="C35" s="120">
        <v>0</v>
      </c>
      <c r="D35" s="121">
        <v>0</v>
      </c>
      <c r="E35" s="120">
        <v>0</v>
      </c>
      <c r="F35" s="121">
        <v>0</v>
      </c>
      <c r="G35" s="237" t="e">
        <f>SUM(Tabela12[[#This Row],[GOVERNANÇA
Direção e Liderança]:[GESTÃO
Infraestrutura
]])</f>
        <v>#REF!</v>
      </c>
      <c r="H35" s="225" t="e">
        <f>Tabela12[[#This Row],[Proposta Orçamentária 2023]]/Tabela12[[#This Row],[Orçado
2022]]</f>
        <v>#REF!</v>
      </c>
      <c r="I35" s="120">
        <f>'Anexo IV - Despesas Analíticas'!I128</f>
        <v>0</v>
      </c>
      <c r="J35" s="19">
        <f>'Anexo IV - Despesas Analíticas'!J128</f>
        <v>0</v>
      </c>
      <c r="K35" s="19">
        <f>'Anexo IV - Despesas Analíticas'!K128</f>
        <v>0</v>
      </c>
      <c r="L35" s="121">
        <f>'Anexo IV - Despesas Analíticas'!L128</f>
        <v>0</v>
      </c>
      <c r="M35" s="19">
        <f>'Anexo IV - Despesas Analíticas'!M128</f>
        <v>0</v>
      </c>
      <c r="N35" s="19">
        <f>'Anexo IV - Despesas Analíticas'!N128</f>
        <v>0</v>
      </c>
      <c r="O35" s="121">
        <f>'Anexo IV - Despesas Analíticas'!O128</f>
        <v>0</v>
      </c>
      <c r="P35" s="19" t="e">
        <f>'Anexo IV - Despesas Analíticas'!#REF!</f>
        <v>#REF!</v>
      </c>
      <c r="Q35" s="19">
        <f>'Anexo IV - Despesas Analíticas'!P128</f>
        <v>0</v>
      </c>
      <c r="R35" s="19">
        <f>'Anexo IV - Despesas Analíticas'!Q128</f>
        <v>850000</v>
      </c>
      <c r="S35" s="177">
        <f>'Anexo IV - Despesas Analíticas'!R128</f>
        <v>0</v>
      </c>
    </row>
    <row r="36" spans="1:24" ht="12.75" hidden="1" customHeight="1" x14ac:dyDescent="0.25">
      <c r="A36" s="100" t="s">
        <v>254</v>
      </c>
      <c r="B36" s="71" t="s">
        <v>255</v>
      </c>
      <c r="C36" s="120">
        <v>0</v>
      </c>
      <c r="D36" s="121">
        <v>0</v>
      </c>
      <c r="E36" s="120">
        <v>0</v>
      </c>
      <c r="F36" s="121">
        <v>0</v>
      </c>
      <c r="G36" s="237" t="e">
        <f>SUM(Tabela12[[#This Row],[GOVERNANÇA
Direção e Liderança]:[GESTÃO
Infraestrutura
]])</f>
        <v>#REF!</v>
      </c>
      <c r="H36" s="225" t="e">
        <f>Tabela12[[#This Row],[Proposta Orçamentária 2023]]/Tabela12[[#This Row],[Orçado
2022]]</f>
        <v>#REF!</v>
      </c>
      <c r="I36" s="120">
        <f>'Anexo IV - Despesas Analíticas'!I129</f>
        <v>0</v>
      </c>
      <c r="J36" s="19">
        <f>'Anexo IV - Despesas Analíticas'!J129</f>
        <v>5000000</v>
      </c>
      <c r="K36" s="20">
        <f>'Anexo IV - Despesas Analíticas'!K129</f>
        <v>13510000</v>
      </c>
      <c r="L36" s="119">
        <f>'Anexo IV - Despesas Analíticas'!L129</f>
        <v>0</v>
      </c>
      <c r="M36" s="20">
        <f>'Anexo IV - Despesas Analíticas'!M129</f>
        <v>0</v>
      </c>
      <c r="N36" s="20">
        <f>'Anexo IV - Despesas Analíticas'!N129</f>
        <v>0</v>
      </c>
      <c r="O36" s="119">
        <f>'Anexo IV - Despesas Analíticas'!O129</f>
        <v>0</v>
      </c>
      <c r="P36" s="20" t="e">
        <f>'Anexo IV - Despesas Analíticas'!#REF!</f>
        <v>#REF!</v>
      </c>
      <c r="Q36" s="20">
        <f>'Anexo IV - Despesas Analíticas'!P129</f>
        <v>0</v>
      </c>
      <c r="R36" s="20">
        <f>'Anexo IV - Despesas Analíticas'!Q129</f>
        <v>0</v>
      </c>
      <c r="S36" s="176">
        <f>'Anexo IV - Despesas Analíticas'!R129</f>
        <v>0</v>
      </c>
    </row>
    <row r="37" spans="1:24" ht="12.75" hidden="1" customHeight="1" x14ac:dyDescent="0.25">
      <c r="A37" s="100" t="s">
        <v>256</v>
      </c>
      <c r="B37" s="71" t="s">
        <v>257</v>
      </c>
      <c r="C37" s="120">
        <v>0</v>
      </c>
      <c r="D37" s="121">
        <v>0</v>
      </c>
      <c r="E37" s="120">
        <v>0</v>
      </c>
      <c r="F37" s="121">
        <v>0</v>
      </c>
      <c r="G37" s="237" t="e">
        <f>SUM(Tabela12[[#This Row],[GOVERNANÇA
Direção e Liderança]:[GESTÃO
Infraestrutura
]])</f>
        <v>#REF!</v>
      </c>
      <c r="H37" s="225" t="e">
        <f>Tabela12[[#This Row],[Proposta Orçamentária 2023]]/Tabela12[[#This Row],[Orçado
2022]]</f>
        <v>#REF!</v>
      </c>
      <c r="I37" s="120">
        <f>'Anexo IV - Despesas Analíticas'!I130</f>
        <v>0</v>
      </c>
      <c r="J37" s="19">
        <f>'Anexo IV - Despesas Analíticas'!J130</f>
        <v>5000000</v>
      </c>
      <c r="K37" s="20">
        <f>'Anexo IV - Despesas Analíticas'!K130</f>
        <v>13510000</v>
      </c>
      <c r="L37" s="119">
        <f>'Anexo IV - Despesas Analíticas'!L130</f>
        <v>0</v>
      </c>
      <c r="M37" s="20">
        <f>'Anexo IV - Despesas Analíticas'!M130</f>
        <v>0</v>
      </c>
      <c r="N37" s="20">
        <f>'Anexo IV - Despesas Analíticas'!N130</f>
        <v>0</v>
      </c>
      <c r="O37" s="119">
        <f>'Anexo IV - Despesas Analíticas'!O130</f>
        <v>0</v>
      </c>
      <c r="P37" s="20" t="e">
        <f>'Anexo IV - Despesas Analíticas'!#REF!</f>
        <v>#REF!</v>
      </c>
      <c r="Q37" s="20">
        <f>'Anexo IV - Despesas Analíticas'!P130</f>
        <v>0</v>
      </c>
      <c r="R37" s="20">
        <f>'Anexo IV - Despesas Analíticas'!Q130</f>
        <v>0</v>
      </c>
      <c r="S37" s="176">
        <f>'Anexo IV - Despesas Analíticas'!R130</f>
        <v>0</v>
      </c>
    </row>
    <row r="38" spans="1:24" ht="12.75" hidden="1" customHeight="1" x14ac:dyDescent="0.25">
      <c r="A38" s="100" t="s">
        <v>258</v>
      </c>
      <c r="B38" s="71" t="s">
        <v>259</v>
      </c>
      <c r="C38" s="120">
        <v>0</v>
      </c>
      <c r="D38" s="121">
        <v>0</v>
      </c>
      <c r="E38" s="120">
        <v>0</v>
      </c>
      <c r="F38" s="121">
        <v>0</v>
      </c>
      <c r="G38" s="237" t="e">
        <f>SUM(Tabela12[[#This Row],[GOVERNANÇA
Direção e Liderança]:[GESTÃO
Infraestrutura
]])</f>
        <v>#REF!</v>
      </c>
      <c r="H38" s="225" t="e">
        <f>Tabela12[[#This Row],[Proposta Orçamentária 2023]]/Tabela12[[#This Row],[Orçado
2022]]</f>
        <v>#REF!</v>
      </c>
      <c r="I38" s="120">
        <f>'Anexo IV - Despesas Analíticas'!I131</f>
        <v>0</v>
      </c>
      <c r="J38" s="19">
        <f>'Anexo IV - Despesas Analíticas'!J131</f>
        <v>0</v>
      </c>
      <c r="K38" s="19">
        <f>'Anexo IV - Despesas Analíticas'!K131</f>
        <v>13510000</v>
      </c>
      <c r="L38" s="121">
        <f>'Anexo IV - Despesas Analíticas'!L131</f>
        <v>0</v>
      </c>
      <c r="M38" s="19">
        <f>'Anexo IV - Despesas Analíticas'!M131</f>
        <v>0</v>
      </c>
      <c r="N38" s="19">
        <f>'Anexo IV - Despesas Analíticas'!N131</f>
        <v>0</v>
      </c>
      <c r="O38" s="121">
        <f>'Anexo IV - Despesas Analíticas'!O131</f>
        <v>0</v>
      </c>
      <c r="P38" s="19" t="e">
        <f>'Anexo IV - Despesas Analíticas'!#REF!</f>
        <v>#REF!</v>
      </c>
      <c r="Q38" s="19">
        <f>'Anexo IV - Despesas Analíticas'!P131</f>
        <v>0</v>
      </c>
      <c r="R38" s="19">
        <f>'Anexo IV - Despesas Analíticas'!Q131</f>
        <v>0</v>
      </c>
      <c r="S38" s="177">
        <f>'Anexo IV - Despesas Analíticas'!R131</f>
        <v>0</v>
      </c>
    </row>
    <row r="39" spans="1:24" ht="12.75" hidden="1" customHeight="1" x14ac:dyDescent="0.25">
      <c r="A39" s="100" t="s">
        <v>260</v>
      </c>
      <c r="B39" s="71" t="s">
        <v>261</v>
      </c>
      <c r="C39" s="120">
        <v>0</v>
      </c>
      <c r="D39" s="121">
        <v>0</v>
      </c>
      <c r="E39" s="120">
        <v>0</v>
      </c>
      <c r="F39" s="121">
        <v>0</v>
      </c>
      <c r="G39" s="237" t="e">
        <f>SUM(Tabela12[[#This Row],[GOVERNANÇA
Direção e Liderança]:[GESTÃO
Infraestrutura
]])</f>
        <v>#REF!</v>
      </c>
      <c r="H39" s="225" t="e">
        <f>Tabela12[[#This Row],[Proposta Orçamentária 2023]]/Tabela12[[#This Row],[Orçado
2022]]</f>
        <v>#REF!</v>
      </c>
      <c r="I39" s="120">
        <f>'Anexo IV - Despesas Analíticas'!I132</f>
        <v>0</v>
      </c>
      <c r="J39" s="19">
        <f>'Anexo IV - Despesas Analíticas'!J132</f>
        <v>0</v>
      </c>
      <c r="K39" s="19">
        <f>'Anexo IV - Despesas Analíticas'!K132</f>
        <v>0</v>
      </c>
      <c r="L39" s="121">
        <f>'Anexo IV - Despesas Analíticas'!L132</f>
        <v>0</v>
      </c>
      <c r="M39" s="19">
        <f>'Anexo IV - Despesas Analíticas'!M132</f>
        <v>0</v>
      </c>
      <c r="N39" s="19">
        <f>'Anexo IV - Despesas Analíticas'!N132</f>
        <v>0</v>
      </c>
      <c r="O39" s="121">
        <f>'Anexo IV - Despesas Analíticas'!O132</f>
        <v>0</v>
      </c>
      <c r="P39" s="19" t="e">
        <f>'Anexo IV - Despesas Analíticas'!#REF!</f>
        <v>#REF!</v>
      </c>
      <c r="Q39" s="19">
        <f>'Anexo IV - Despesas Analíticas'!P132</f>
        <v>0</v>
      </c>
      <c r="R39" s="19">
        <f>'Anexo IV - Despesas Analíticas'!Q132</f>
        <v>0</v>
      </c>
      <c r="S39" s="177">
        <f>'Anexo IV - Despesas Analíticas'!R132</f>
        <v>0</v>
      </c>
    </row>
    <row r="40" spans="1:24" ht="12.75" hidden="1" customHeight="1" x14ac:dyDescent="0.25">
      <c r="A40" s="100" t="s">
        <v>262</v>
      </c>
      <c r="B40" s="71" t="s">
        <v>263</v>
      </c>
      <c r="C40" s="120">
        <v>0</v>
      </c>
      <c r="D40" s="121">
        <v>0</v>
      </c>
      <c r="E40" s="120">
        <v>0</v>
      </c>
      <c r="F40" s="121">
        <v>0</v>
      </c>
      <c r="G40" s="237" t="e">
        <f>SUM(Tabela12[[#This Row],[GOVERNANÇA
Direção e Liderança]:[GESTÃO
Infraestrutura
]])</f>
        <v>#REF!</v>
      </c>
      <c r="H40" s="225" t="e">
        <f>Tabela12[[#This Row],[Proposta Orçamentária 2023]]/Tabela12[[#This Row],[Orçado
2022]]</f>
        <v>#REF!</v>
      </c>
      <c r="I40" s="120">
        <f>'Anexo IV - Despesas Analíticas'!I133</f>
        <v>0</v>
      </c>
      <c r="J40" s="19">
        <f>'Anexo IV - Despesas Analíticas'!J133</f>
        <v>0</v>
      </c>
      <c r="K40" s="19">
        <f>'Anexo IV - Despesas Analíticas'!K133</f>
        <v>0</v>
      </c>
      <c r="L40" s="121">
        <f>'Anexo IV - Despesas Analíticas'!L133</f>
        <v>0</v>
      </c>
      <c r="M40" s="19">
        <f>'Anexo IV - Despesas Analíticas'!M133</f>
        <v>0</v>
      </c>
      <c r="N40" s="19">
        <f>'Anexo IV - Despesas Analíticas'!N133</f>
        <v>0</v>
      </c>
      <c r="O40" s="121">
        <f>'Anexo IV - Despesas Analíticas'!O133</f>
        <v>0</v>
      </c>
      <c r="P40" s="19" t="e">
        <f>'Anexo IV - Despesas Analíticas'!#REF!</f>
        <v>#REF!</v>
      </c>
      <c r="Q40" s="19">
        <f>'Anexo IV - Despesas Analíticas'!P133</f>
        <v>0</v>
      </c>
      <c r="R40" s="19">
        <f>'Anexo IV - Despesas Analíticas'!Q133</f>
        <v>0</v>
      </c>
      <c r="S40" s="177">
        <f>'Anexo IV - Despesas Analíticas'!R133</f>
        <v>0</v>
      </c>
    </row>
    <row r="41" spans="1:24" ht="12.75" hidden="1" customHeight="1" x14ac:dyDescent="0.25">
      <c r="A41" s="100" t="s">
        <v>264</v>
      </c>
      <c r="B41" s="71" t="s">
        <v>265</v>
      </c>
      <c r="C41" s="120">
        <v>0</v>
      </c>
      <c r="D41" s="121">
        <v>0</v>
      </c>
      <c r="E41" s="120">
        <v>0</v>
      </c>
      <c r="F41" s="121">
        <v>0</v>
      </c>
      <c r="G41" s="237" t="e">
        <f>SUM(Tabela12[[#This Row],[GOVERNANÇA
Direção e Liderança]:[GESTÃO
Infraestrutura
]])</f>
        <v>#REF!</v>
      </c>
      <c r="H41" s="225" t="e">
        <f>Tabela12[[#This Row],[Proposta Orçamentária 2023]]/Tabela12[[#This Row],[Orçado
2022]]</f>
        <v>#REF!</v>
      </c>
      <c r="I41" s="120">
        <f>'Anexo IV - Despesas Analíticas'!I134</f>
        <v>0</v>
      </c>
      <c r="J41" s="19">
        <f>'Anexo IV - Despesas Analíticas'!J134</f>
        <v>5000000</v>
      </c>
      <c r="K41" s="19">
        <f>'Anexo IV - Despesas Analíticas'!K134</f>
        <v>0</v>
      </c>
      <c r="L41" s="121">
        <f>'Anexo IV - Despesas Analíticas'!L134</f>
        <v>0</v>
      </c>
      <c r="M41" s="19">
        <f>'Anexo IV - Despesas Analíticas'!M134</f>
        <v>0</v>
      </c>
      <c r="N41" s="19">
        <f>'Anexo IV - Despesas Analíticas'!N134</f>
        <v>0</v>
      </c>
      <c r="O41" s="121">
        <f>'Anexo IV - Despesas Analíticas'!O134</f>
        <v>0</v>
      </c>
      <c r="P41" s="19" t="e">
        <f>'Anexo IV - Despesas Analíticas'!#REF!</f>
        <v>#REF!</v>
      </c>
      <c r="Q41" s="19">
        <f>'Anexo IV - Despesas Analíticas'!P134</f>
        <v>0</v>
      </c>
      <c r="R41" s="19">
        <f>'Anexo IV - Despesas Analíticas'!Q134</f>
        <v>0</v>
      </c>
      <c r="S41" s="177">
        <f>'Anexo IV - Despesas Analíticas'!R134</f>
        <v>0</v>
      </c>
    </row>
    <row r="42" spans="1:24" ht="12.75" hidden="1" customHeight="1" x14ac:dyDescent="0.25">
      <c r="A42" s="100" t="s">
        <v>266</v>
      </c>
      <c r="B42" s="71" t="s">
        <v>267</v>
      </c>
      <c r="C42" s="120">
        <v>0</v>
      </c>
      <c r="D42" s="121">
        <v>0</v>
      </c>
      <c r="E42" s="120">
        <v>0</v>
      </c>
      <c r="F42" s="121">
        <v>0</v>
      </c>
      <c r="G42" s="237" t="e">
        <f>SUM(Tabela12[[#This Row],[GOVERNANÇA
Direção e Liderança]:[GESTÃO
Infraestrutura
]])</f>
        <v>#REF!</v>
      </c>
      <c r="H42" s="225" t="e">
        <f>Tabela12[[#This Row],[Proposta Orçamentária 2023]]/Tabela12[[#This Row],[Orçado
2022]]</f>
        <v>#REF!</v>
      </c>
      <c r="I42" s="120">
        <f>'Anexo IV - Despesas Analíticas'!I135</f>
        <v>0</v>
      </c>
      <c r="J42" s="19">
        <f>'Anexo IV - Despesas Analíticas'!J135</f>
        <v>0</v>
      </c>
      <c r="K42" s="19">
        <f>'Anexo IV - Despesas Analíticas'!K135</f>
        <v>0</v>
      </c>
      <c r="L42" s="121">
        <f>'Anexo IV - Despesas Analíticas'!L135</f>
        <v>0</v>
      </c>
      <c r="M42" s="19">
        <f>'Anexo IV - Despesas Analíticas'!M135</f>
        <v>0</v>
      </c>
      <c r="N42" s="19">
        <f>'Anexo IV - Despesas Analíticas'!N135</f>
        <v>0</v>
      </c>
      <c r="O42" s="121">
        <f>'Anexo IV - Despesas Analíticas'!O135</f>
        <v>0</v>
      </c>
      <c r="P42" s="19" t="e">
        <f>'Anexo IV - Despesas Analíticas'!#REF!</f>
        <v>#REF!</v>
      </c>
      <c r="Q42" s="19">
        <f>'Anexo IV - Despesas Analíticas'!P135</f>
        <v>0</v>
      </c>
      <c r="R42" s="19">
        <f>'Anexo IV - Despesas Analíticas'!Q135</f>
        <v>0</v>
      </c>
      <c r="S42" s="177">
        <f>'Anexo IV - Despesas Analíticas'!R135</f>
        <v>0</v>
      </c>
    </row>
    <row r="43" spans="1:24" ht="12.75" hidden="1" customHeight="1" x14ac:dyDescent="0.25">
      <c r="A43" s="100" t="s">
        <v>268</v>
      </c>
      <c r="B43" s="71" t="s">
        <v>269</v>
      </c>
      <c r="C43" s="120">
        <v>0</v>
      </c>
      <c r="D43" s="121">
        <v>0</v>
      </c>
      <c r="E43" s="120">
        <v>0</v>
      </c>
      <c r="F43" s="121">
        <v>0</v>
      </c>
      <c r="G43" s="237" t="e">
        <f>SUM(Tabela12[[#This Row],[GOVERNANÇA
Direção e Liderança]:[GESTÃO
Infraestrutura
]])</f>
        <v>#REF!</v>
      </c>
      <c r="H43" s="225" t="e">
        <f>Tabela12[[#This Row],[Proposta Orçamentária 2023]]/Tabela12[[#This Row],[Orçado
2022]]</f>
        <v>#REF!</v>
      </c>
      <c r="I43" s="120">
        <f>'Anexo IV - Despesas Analíticas'!I137</f>
        <v>0</v>
      </c>
      <c r="J43" s="19">
        <f>'Anexo IV - Despesas Analíticas'!J137</f>
        <v>0</v>
      </c>
      <c r="K43" s="19">
        <f>'Anexo IV - Despesas Analíticas'!K137</f>
        <v>0</v>
      </c>
      <c r="L43" s="121">
        <f>'Anexo IV - Despesas Analíticas'!L137</f>
        <v>0</v>
      </c>
      <c r="M43" s="19">
        <f>'Anexo IV - Despesas Analíticas'!M137</f>
        <v>0</v>
      </c>
      <c r="N43" s="19">
        <f>'Anexo IV - Despesas Analíticas'!N137</f>
        <v>0</v>
      </c>
      <c r="O43" s="121">
        <f>'Anexo IV - Despesas Analíticas'!O137</f>
        <v>0</v>
      </c>
      <c r="P43" s="19" t="e">
        <f>'Anexo IV - Despesas Analíticas'!#REF!</f>
        <v>#REF!</v>
      </c>
      <c r="Q43" s="19">
        <f>'Anexo IV - Despesas Analíticas'!P137</f>
        <v>0</v>
      </c>
      <c r="R43" s="19">
        <f>'Anexo IV - Despesas Analíticas'!Q137</f>
        <v>0</v>
      </c>
      <c r="S43" s="177">
        <f>'Anexo IV - Despesas Analíticas'!R137</f>
        <v>0</v>
      </c>
    </row>
    <row r="44" spans="1:24" s="5" customFormat="1" ht="12.75" customHeight="1" x14ac:dyDescent="0.25">
      <c r="A44" s="98" t="s">
        <v>270</v>
      </c>
      <c r="B44" s="25" t="s">
        <v>271</v>
      </c>
      <c r="C44" s="118">
        <v>620000</v>
      </c>
      <c r="D44" s="119">
        <v>616648.76</v>
      </c>
      <c r="E44" s="118">
        <f>'Anexo IV - Despesas Analíticas'!C126</f>
        <v>860000</v>
      </c>
      <c r="F44" s="119">
        <f>'Anexo IV - Despesas Analíticas'!D126</f>
        <v>350213.9</v>
      </c>
      <c r="G44" s="236">
        <f>SUM(Tabela12[[#This Row],[GOVERNANÇA
Direção e Liderança]:[GESTÃO
Infraestrutura
]])</f>
        <v>955000</v>
      </c>
      <c r="H44" s="222">
        <f>Tabela12[[#This Row],[Proposta Orçamentária 2023]]/Tabela12[[#This Row],[Orçado
2022]]</f>
        <v>1.1104651162790697</v>
      </c>
      <c r="I44" s="118">
        <f>'Anexo IV - Despesas Analíticas'!I126</f>
        <v>0</v>
      </c>
      <c r="J44" s="20">
        <f>'Anexo IV - Despesas Analíticas'!J126</f>
        <v>5000</v>
      </c>
      <c r="K44" s="20">
        <f>'Anexo IV - Despesas Analíticas'!K126</f>
        <v>0</v>
      </c>
      <c r="L44" s="119">
        <f>'Anexo IV - Despesas Analíticas'!L126</f>
        <v>0</v>
      </c>
      <c r="M44" s="20">
        <f>'Anexo IV - Despesas Analíticas'!M126</f>
        <v>0</v>
      </c>
      <c r="N44" s="20">
        <f>'Anexo IV - Despesas Analíticas'!N126</f>
        <v>0</v>
      </c>
      <c r="O44" s="119">
        <f>'Anexo IV - Despesas Analíticas'!O126</f>
        <v>0</v>
      </c>
      <c r="P44" s="20">
        <f>'Anexo IV - Despesas Analíticas'!P126</f>
        <v>0</v>
      </c>
      <c r="Q44" s="20">
        <f>'Anexo IV - Despesas Analíticas'!Q126</f>
        <v>950000</v>
      </c>
      <c r="R44" s="20">
        <f>'Anexo IV - Despesas Analíticas'!R126</f>
        <v>0</v>
      </c>
      <c r="S44" s="176">
        <f>'Anexo IV - Despesas Analíticas'!S126</f>
        <v>0</v>
      </c>
    </row>
    <row r="45" spans="1:24" s="5" customFormat="1" ht="12.75" customHeight="1" x14ac:dyDescent="0.25">
      <c r="A45" s="98" t="s">
        <v>274</v>
      </c>
      <c r="B45" s="25" t="s">
        <v>275</v>
      </c>
      <c r="C45" s="118">
        <f>SUM(C46)</f>
        <v>14996000</v>
      </c>
      <c r="D45" s="119">
        <f>SUM(D46)</f>
        <v>6132112.1699999999</v>
      </c>
      <c r="E45" s="118">
        <f>SUM(E46)</f>
        <v>48501852.689999998</v>
      </c>
      <c r="F45" s="119">
        <f>SUM(F46)</f>
        <v>1587618.6800000002</v>
      </c>
      <c r="G45" s="236">
        <f>SUM(Tabela12[[#This Row],[GOVERNANÇA
Direção e Liderança]:[GESTÃO
Infraestrutura
]])</f>
        <v>18510000</v>
      </c>
      <c r="H45" s="222">
        <f>Tabela12[[#This Row],[Proposta Orçamentária 2023]]/Tabela12[[#This Row],[Orçado
2022]]</f>
        <v>0.38163490616135476</v>
      </c>
      <c r="I45" s="118">
        <f t="shared" ref="I45:J45" si="35">SUM(I46)</f>
        <v>0</v>
      </c>
      <c r="J45" s="20">
        <f t="shared" si="35"/>
        <v>5000000</v>
      </c>
      <c r="K45" s="20">
        <f t="shared" ref="K45" si="36">SUM(K46)</f>
        <v>13510000</v>
      </c>
      <c r="L45" s="119">
        <f t="shared" ref="L45" si="37">SUM(L46)</f>
        <v>0</v>
      </c>
      <c r="M45" s="20">
        <f t="shared" ref="M45" si="38">SUM(M46)</f>
        <v>0</v>
      </c>
      <c r="N45" s="20">
        <f t="shared" ref="N45" si="39">SUM(N46)</f>
        <v>0</v>
      </c>
      <c r="O45" s="119">
        <f t="shared" ref="O45" si="40">SUM(O46)</f>
        <v>0</v>
      </c>
      <c r="P45" s="20">
        <f t="shared" ref="P45" si="41">SUM(P46)</f>
        <v>0</v>
      </c>
      <c r="Q45" s="20">
        <f t="shared" ref="Q45" si="42">SUM(Q46)</f>
        <v>0</v>
      </c>
      <c r="R45" s="20">
        <f t="shared" ref="R45" si="43">SUM(R46)</f>
        <v>0</v>
      </c>
      <c r="S45" s="176">
        <f t="shared" ref="S45" si="44">SUM(S46)</f>
        <v>0</v>
      </c>
    </row>
    <row r="46" spans="1:24" ht="12.75" customHeight="1" x14ac:dyDescent="0.25">
      <c r="A46" s="100" t="s">
        <v>276</v>
      </c>
      <c r="B46" s="71" t="s">
        <v>809</v>
      </c>
      <c r="C46" s="120">
        <v>14996000</v>
      </c>
      <c r="D46" s="121">
        <v>6132112.1699999999</v>
      </c>
      <c r="E46" s="120">
        <f>'Anexo IV - Despesas Analíticas'!C130</f>
        <v>48501852.689999998</v>
      </c>
      <c r="F46" s="121">
        <f>'Anexo IV - Despesas Analíticas'!D130</f>
        <v>1587618.6800000002</v>
      </c>
      <c r="G46" s="237">
        <f>SUM(Tabela12[[#This Row],[GOVERNANÇA
Direção e Liderança]:[GESTÃO
Infraestrutura
]])</f>
        <v>18510000</v>
      </c>
      <c r="H46" s="225">
        <f>Tabela12[[#This Row],[Proposta Orçamentária 2023]]/Tabela12[[#This Row],[Orçado
2022]]</f>
        <v>0.38163490616135476</v>
      </c>
      <c r="I46" s="120">
        <f>'Anexo IV - Despesas Analíticas'!I130</f>
        <v>0</v>
      </c>
      <c r="J46" s="19">
        <f>'Anexo IV - Despesas Analíticas'!J130</f>
        <v>5000000</v>
      </c>
      <c r="K46" s="19">
        <f>'Anexo IV - Despesas Analíticas'!K130</f>
        <v>13510000</v>
      </c>
      <c r="L46" s="121">
        <f>'Anexo IV - Despesas Analíticas'!L130</f>
        <v>0</v>
      </c>
      <c r="M46" s="19">
        <f>'Anexo IV - Despesas Analíticas'!M130</f>
        <v>0</v>
      </c>
      <c r="N46" s="19">
        <f>'Anexo IV - Despesas Analíticas'!N130</f>
        <v>0</v>
      </c>
      <c r="O46" s="121">
        <f>'Anexo IV - Despesas Analíticas'!O130</f>
        <v>0</v>
      </c>
      <c r="P46" s="19">
        <f>'Anexo IV - Despesas Analíticas'!P130</f>
        <v>0</v>
      </c>
      <c r="Q46" s="19">
        <f>'Anexo IV - Despesas Analíticas'!Q130</f>
        <v>0</v>
      </c>
      <c r="R46" s="19">
        <f>'Anexo IV - Despesas Analíticas'!R130</f>
        <v>0</v>
      </c>
      <c r="S46" s="177">
        <f>'Anexo IV - Despesas Analíticas'!S130</f>
        <v>0</v>
      </c>
    </row>
    <row r="47" spans="1:24" ht="12.75" x14ac:dyDescent="0.25">
      <c r="A47" s="98" t="s">
        <v>279</v>
      </c>
      <c r="B47" s="25" t="s">
        <v>280</v>
      </c>
      <c r="C47" s="118">
        <f>C48</f>
        <v>0</v>
      </c>
      <c r="D47" s="119">
        <f t="shared" ref="D47" si="45">D48</f>
        <v>0</v>
      </c>
      <c r="E47" s="118">
        <f>E48</f>
        <v>0</v>
      </c>
      <c r="F47" s="119">
        <f>F48</f>
        <v>0</v>
      </c>
      <c r="G47" s="236">
        <f>SUM(Tabela12[[#This Row],[GOVERNANÇA
Direção e Liderança]:[GESTÃO
Infraestrutura
]])</f>
        <v>550000</v>
      </c>
      <c r="H47" s="240" t="e">
        <f>Tabela12[[#This Row],[Proposta Orçamentária 2023]]/Tabela12[[#This Row],[Orçado
2022]]</f>
        <v>#DIV/0!</v>
      </c>
      <c r="I47" s="118">
        <f t="shared" ref="I47:J47" si="46">I48</f>
        <v>0</v>
      </c>
      <c r="J47" s="20">
        <f t="shared" si="46"/>
        <v>0</v>
      </c>
      <c r="K47" s="20">
        <f t="shared" ref="K47" si="47">K48</f>
        <v>0</v>
      </c>
      <c r="L47" s="119">
        <f t="shared" ref="L47" si="48">L48</f>
        <v>0</v>
      </c>
      <c r="M47" s="20">
        <f t="shared" ref="M47" si="49">M48</f>
        <v>0</v>
      </c>
      <c r="N47" s="20">
        <f t="shared" ref="N47" si="50">N48</f>
        <v>0</v>
      </c>
      <c r="O47" s="119">
        <f t="shared" ref="O47" si="51">O48</f>
        <v>0</v>
      </c>
      <c r="P47" s="20">
        <f t="shared" ref="P47" si="52">P48</f>
        <v>0</v>
      </c>
      <c r="Q47" s="20">
        <f t="shared" ref="Q47" si="53">Q48</f>
        <v>550000</v>
      </c>
      <c r="R47" s="20">
        <f t="shared" ref="R47" si="54">R48</f>
        <v>0</v>
      </c>
      <c r="S47" s="176">
        <f t="shared" ref="S47" si="55">S48</f>
        <v>0</v>
      </c>
      <c r="T47" s="103"/>
      <c r="U47" s="103"/>
      <c r="V47" s="10"/>
      <c r="X47" s="104"/>
    </row>
    <row r="48" spans="1:24" ht="12.75" x14ac:dyDescent="0.25">
      <c r="A48" s="100" t="s">
        <v>281</v>
      </c>
      <c r="B48" s="71" t="s">
        <v>810</v>
      </c>
      <c r="C48" s="120">
        <v>0</v>
      </c>
      <c r="D48" s="121">
        <v>0</v>
      </c>
      <c r="E48" s="120">
        <v>0</v>
      </c>
      <c r="F48" s="121">
        <f>'Anexo IV - Despesas Analíticas'!D139</f>
        <v>0</v>
      </c>
      <c r="G48" s="237">
        <f>SUM(Tabela12[[#This Row],[GOVERNANÇA
Direção e Liderança]:[GESTÃO
Infraestrutura
]])</f>
        <v>550000</v>
      </c>
      <c r="H48" s="265" t="e">
        <f>Tabela12[[#This Row],[Proposta Orçamentária 2023]]/Tabela12[[#This Row],[Orçado
2022]]</f>
        <v>#DIV/0!</v>
      </c>
      <c r="I48" s="120">
        <f>'Anexo IV - Despesas Analíticas'!I139</f>
        <v>0</v>
      </c>
      <c r="J48" s="19">
        <f>'Anexo IV - Despesas Analíticas'!J139</f>
        <v>0</v>
      </c>
      <c r="K48" s="19">
        <f>'Anexo IV - Despesas Analíticas'!K139</f>
        <v>0</v>
      </c>
      <c r="L48" s="121">
        <f>'Anexo IV - Despesas Analíticas'!L139</f>
        <v>0</v>
      </c>
      <c r="M48" s="19">
        <f>'Anexo IV - Despesas Analíticas'!M139</f>
        <v>0</v>
      </c>
      <c r="N48" s="19">
        <f>'Anexo IV - Despesas Analíticas'!N139</f>
        <v>0</v>
      </c>
      <c r="O48" s="121">
        <f>'Anexo IV - Despesas Analíticas'!O139</f>
        <v>0</v>
      </c>
      <c r="P48" s="19">
        <f>'Anexo IV - Despesas Analíticas'!P139</f>
        <v>0</v>
      </c>
      <c r="Q48" s="19">
        <f>'Anexo IV - Despesas Analíticas'!Q139</f>
        <v>550000</v>
      </c>
      <c r="R48" s="19">
        <f>'Anexo IV - Despesas Analíticas'!R139</f>
        <v>0</v>
      </c>
      <c r="S48" s="177">
        <f>'Anexo IV - Despesas Analíticas'!S139</f>
        <v>0</v>
      </c>
      <c r="T48" s="103"/>
      <c r="U48" s="103"/>
      <c r="V48" s="10"/>
      <c r="X48" s="104"/>
    </row>
    <row r="49" spans="1:19" s="5" customFormat="1" ht="21" customHeight="1" x14ac:dyDescent="0.25">
      <c r="A49" s="98" t="s">
        <v>282</v>
      </c>
      <c r="B49" s="25" t="s">
        <v>363</v>
      </c>
      <c r="C49" s="118">
        <f>C50+C54+C55+C56</f>
        <v>13105000</v>
      </c>
      <c r="D49" s="119">
        <f>D50+D54+D55+D56</f>
        <v>9136148.7200000007</v>
      </c>
      <c r="E49" s="118">
        <f>E50+E54+E55+E56</f>
        <v>19741852.689999998</v>
      </c>
      <c r="F49" s="119">
        <f>F50+F54+F55+F56</f>
        <v>12127.06</v>
      </c>
      <c r="G49" s="236">
        <f>SUM(Tabela12[[#This Row],[GOVERNANÇA
Direção e Liderança]:[GESTÃO
Infraestrutura
]])</f>
        <v>23320000</v>
      </c>
      <c r="H49" s="222">
        <f>Tabela12[[#This Row],[Proposta Orçamentária 2023]]/Tabela12[[#This Row],[Orçado
2022]]</f>
        <v>1.181246783986615</v>
      </c>
      <c r="I49" s="118">
        <f t="shared" ref="I49" si="56">I50+I54+I55+I56</f>
        <v>0</v>
      </c>
      <c r="J49" s="20">
        <f t="shared" ref="J49" si="57">J50+J54+J55+J56</f>
        <v>0</v>
      </c>
      <c r="K49" s="20">
        <f t="shared" ref="K49" si="58">K50+K54+K55+K56</f>
        <v>20265000</v>
      </c>
      <c r="L49" s="119">
        <f t="shared" ref="L49" si="59">L50+L54+L55+L56</f>
        <v>0</v>
      </c>
      <c r="M49" s="20">
        <f t="shared" ref="M49" si="60">M50+M54+M55+M56</f>
        <v>0</v>
      </c>
      <c r="N49" s="20">
        <f t="shared" ref="N49" si="61">N50+N54+N55+N56</f>
        <v>0</v>
      </c>
      <c r="O49" s="119">
        <f t="shared" ref="O49" si="62">O50+O54+O55+O56</f>
        <v>0</v>
      </c>
      <c r="P49" s="20">
        <f t="shared" ref="P49" si="63">P50+P54+P55+P56</f>
        <v>0</v>
      </c>
      <c r="Q49" s="20">
        <f t="shared" ref="Q49" si="64">Q50+Q54+Q55+Q56</f>
        <v>0</v>
      </c>
      <c r="R49" s="20">
        <f t="shared" ref="R49" si="65">R50+R54+R55+R56</f>
        <v>1450000</v>
      </c>
      <c r="S49" s="176">
        <f t="shared" ref="S49" si="66">S50+S54+S55+S56</f>
        <v>1605000</v>
      </c>
    </row>
    <row r="50" spans="1:19" s="5" customFormat="1" ht="12.75" customHeight="1" x14ac:dyDescent="0.25">
      <c r="A50" s="98" t="s">
        <v>283</v>
      </c>
      <c r="B50" s="25" t="s">
        <v>284</v>
      </c>
      <c r="C50" s="118">
        <f>SUM(C51:C53)</f>
        <v>2905000</v>
      </c>
      <c r="D50" s="119">
        <f>SUM(D51:D53)</f>
        <v>719424.59</v>
      </c>
      <c r="E50" s="118">
        <f>SUM(E51:E53)</f>
        <v>3540000</v>
      </c>
      <c r="F50" s="119">
        <f>SUM(F51:F53)</f>
        <v>0</v>
      </c>
      <c r="G50" s="236">
        <f>SUM(Tabela12[[#This Row],[GOVERNANÇA
Direção e Liderança]:[GESTÃO
Infraestrutura
]])</f>
        <v>3055000</v>
      </c>
      <c r="H50" s="222">
        <f>Tabela12[[#This Row],[Proposta Orçamentária 2023]]/Tabela12[[#This Row],[Orçado
2022]]</f>
        <v>0.86299435028248583</v>
      </c>
      <c r="I50" s="118">
        <f t="shared" ref="I50" si="67">SUM(I51:I53)</f>
        <v>0</v>
      </c>
      <c r="J50" s="20">
        <f t="shared" ref="J50" si="68">SUM(J51:J53)</f>
        <v>0</v>
      </c>
      <c r="K50" s="20">
        <f t="shared" ref="K50" si="69">SUM(K51:K53)</f>
        <v>0</v>
      </c>
      <c r="L50" s="119">
        <f t="shared" ref="L50" si="70">SUM(L51:L53)</f>
        <v>0</v>
      </c>
      <c r="M50" s="20">
        <f t="shared" ref="M50" si="71">SUM(M51:M53)</f>
        <v>0</v>
      </c>
      <c r="N50" s="20">
        <f t="shared" ref="N50" si="72">SUM(N51:N53)</f>
        <v>0</v>
      </c>
      <c r="O50" s="119">
        <f t="shared" ref="O50" si="73">SUM(O51:O53)</f>
        <v>0</v>
      </c>
      <c r="P50" s="20">
        <f t="shared" ref="P50" si="74">SUM(P51:P53)</f>
        <v>0</v>
      </c>
      <c r="Q50" s="20">
        <f t="shared" ref="Q50" si="75">SUM(Q51:Q53)</f>
        <v>0</v>
      </c>
      <c r="R50" s="20">
        <f t="shared" ref="R50" si="76">SUM(R51:R53)</f>
        <v>1450000</v>
      </c>
      <c r="S50" s="176">
        <f t="shared" ref="S50" si="77">SUM(S51:S53)</f>
        <v>1605000</v>
      </c>
    </row>
    <row r="51" spans="1:19" ht="12.75" customHeight="1" x14ac:dyDescent="0.25">
      <c r="A51" s="100" t="s">
        <v>285</v>
      </c>
      <c r="B51" s="71" t="s">
        <v>813</v>
      </c>
      <c r="C51" s="120">
        <v>0</v>
      </c>
      <c r="D51" s="121">
        <v>0</v>
      </c>
      <c r="E51" s="120">
        <f>'Anexo IV - Despesas Analíticas'!C142</f>
        <v>1070000</v>
      </c>
      <c r="F51" s="121">
        <f>'Anexo IV - Despesas Analíticas'!D142</f>
        <v>0</v>
      </c>
      <c r="G51" s="237">
        <f>SUM(Tabela12[[#This Row],[GOVERNANÇA
Direção e Liderança]:[GESTÃO
Infraestrutura
]])</f>
        <v>714000</v>
      </c>
      <c r="H51" s="225">
        <f>Tabela12[[#This Row],[Proposta Orçamentária 2023]]/Tabela12[[#This Row],[Orçado
2022]]</f>
        <v>0.66728971962616823</v>
      </c>
      <c r="I51" s="120">
        <f>'Anexo IV - Despesas Analíticas'!I142</f>
        <v>0</v>
      </c>
      <c r="J51" s="19">
        <f>'Anexo IV - Despesas Analíticas'!J142</f>
        <v>0</v>
      </c>
      <c r="K51" s="19">
        <f>'Anexo IV - Despesas Analíticas'!K142</f>
        <v>0</v>
      </c>
      <c r="L51" s="121">
        <f>'Anexo IV - Despesas Analíticas'!L142</f>
        <v>0</v>
      </c>
      <c r="M51" s="19">
        <f>'Anexo IV - Despesas Analíticas'!M142</f>
        <v>0</v>
      </c>
      <c r="N51" s="19">
        <f>'Anexo IV - Despesas Analíticas'!N142</f>
        <v>0</v>
      </c>
      <c r="O51" s="121">
        <f>'Anexo IV - Despesas Analíticas'!O142</f>
        <v>0</v>
      </c>
      <c r="P51" s="19">
        <f>'Anexo IV - Despesas Analíticas'!P142</f>
        <v>0</v>
      </c>
      <c r="Q51" s="19">
        <f>'Anexo IV - Despesas Analíticas'!Q142</f>
        <v>0</v>
      </c>
      <c r="R51" s="19">
        <f>'Anexo IV - Despesas Analíticas'!R142</f>
        <v>0</v>
      </c>
      <c r="S51" s="177">
        <f>'Anexo IV - Despesas Analíticas'!S142</f>
        <v>714000</v>
      </c>
    </row>
    <row r="52" spans="1:19" ht="12.75" customHeight="1" x14ac:dyDescent="0.25">
      <c r="A52" s="100" t="s">
        <v>289</v>
      </c>
      <c r="B52" s="71" t="s">
        <v>677</v>
      </c>
      <c r="C52" s="120">
        <v>2230000</v>
      </c>
      <c r="D52" s="121">
        <v>719424.59</v>
      </c>
      <c r="E52" s="120">
        <f>'Anexo IV - Despesas Analíticas'!C145</f>
        <v>2470000</v>
      </c>
      <c r="F52" s="121">
        <f>'Anexo IV - Despesas Analíticas'!D144</f>
        <v>0</v>
      </c>
      <c r="G52" s="237">
        <f>SUM(Tabela12[[#This Row],[GOVERNANÇA
Direção e Liderança]:[GESTÃO
Infraestrutura
]])</f>
        <v>2341000</v>
      </c>
      <c r="H52" s="225">
        <f>Tabela12[[#This Row],[Proposta Orçamentária 2023]]/Tabela12[[#This Row],[Orçado
2022]]</f>
        <v>0.94777327935222677</v>
      </c>
      <c r="I52" s="120">
        <f>'Anexo IV - Despesas Analíticas'!I145</f>
        <v>0</v>
      </c>
      <c r="J52" s="19">
        <f>'Anexo IV - Despesas Analíticas'!J145</f>
        <v>0</v>
      </c>
      <c r="K52" s="19">
        <f>'Anexo IV - Despesas Analíticas'!K145</f>
        <v>0</v>
      </c>
      <c r="L52" s="121">
        <f>'Anexo IV - Despesas Analíticas'!L145</f>
        <v>0</v>
      </c>
      <c r="M52" s="19">
        <f>'Anexo IV - Despesas Analíticas'!M145</f>
        <v>0</v>
      </c>
      <c r="N52" s="19">
        <f>'Anexo IV - Despesas Analíticas'!N145</f>
        <v>0</v>
      </c>
      <c r="O52" s="121">
        <f>'Anexo IV - Despesas Analíticas'!O145</f>
        <v>0</v>
      </c>
      <c r="P52" s="19">
        <f>'Anexo IV - Despesas Analíticas'!P145</f>
        <v>0</v>
      </c>
      <c r="Q52" s="19">
        <f>'Anexo IV - Despesas Analíticas'!Q145</f>
        <v>0</v>
      </c>
      <c r="R52" s="19">
        <f>'Anexo IV - Despesas Analíticas'!R145</f>
        <v>1450000</v>
      </c>
      <c r="S52" s="177">
        <f>'Anexo IV - Despesas Analíticas'!S145</f>
        <v>891000</v>
      </c>
    </row>
    <row r="53" spans="1:19" ht="12.75" customHeight="1" x14ac:dyDescent="0.25">
      <c r="A53" s="100" t="s">
        <v>303</v>
      </c>
      <c r="B53" s="71" t="s">
        <v>1367</v>
      </c>
      <c r="C53" s="120">
        <v>675000</v>
      </c>
      <c r="D53" s="121">
        <v>0</v>
      </c>
      <c r="E53" s="120">
        <f>'Anexo IV - Despesas Analíticas'!C165</f>
        <v>0</v>
      </c>
      <c r="F53" s="121">
        <f>'Anexo IV - Despesas Analíticas'!D145</f>
        <v>0</v>
      </c>
      <c r="G53" s="237">
        <f>SUM(Tabela12[[#This Row],[GOVERNANÇA
Direção e Liderança]:[GESTÃO
Infraestrutura
]])</f>
        <v>0</v>
      </c>
      <c r="H53" s="265" t="e">
        <f>Tabela12[[#This Row],[Proposta Orçamentária 2023]]/Tabela12[[#This Row],[Orçado
2022]]</f>
        <v>#DIV/0!</v>
      </c>
      <c r="I53" s="120">
        <f>'Anexo IV - Despesas Analíticas'!I155</f>
        <v>0</v>
      </c>
      <c r="J53" s="19">
        <f>'Anexo IV - Despesas Analíticas'!J155</f>
        <v>0</v>
      </c>
      <c r="K53" s="19">
        <f>'Anexo IV - Despesas Analíticas'!K155</f>
        <v>0</v>
      </c>
      <c r="L53" s="121">
        <f>'Anexo IV - Despesas Analíticas'!L155</f>
        <v>0</v>
      </c>
      <c r="M53" s="19">
        <f>'Anexo IV - Despesas Analíticas'!M155</f>
        <v>0</v>
      </c>
      <c r="N53" s="19">
        <f>'Anexo IV - Despesas Analíticas'!N155</f>
        <v>0</v>
      </c>
      <c r="O53" s="121">
        <f>'Anexo IV - Despesas Analíticas'!O155</f>
        <v>0</v>
      </c>
      <c r="P53" s="19">
        <f>'Anexo IV - Despesas Analíticas'!P155</f>
        <v>0</v>
      </c>
      <c r="Q53" s="19">
        <f>'Anexo IV - Despesas Analíticas'!Q155</f>
        <v>0</v>
      </c>
      <c r="R53" s="19">
        <f>'Anexo IV - Despesas Analíticas'!R155</f>
        <v>0</v>
      </c>
      <c r="S53" s="177">
        <f>'Anexo IV - Despesas Analíticas'!S155</f>
        <v>0</v>
      </c>
    </row>
    <row r="54" spans="1:19" s="5" customFormat="1" ht="12.75" customHeight="1" x14ac:dyDescent="0.25">
      <c r="A54" s="98" t="s">
        <v>305</v>
      </c>
      <c r="B54" s="25" t="s">
        <v>306</v>
      </c>
      <c r="C54" s="118">
        <f>'Anexo IV - Despesas Analíticas'!C157</f>
        <v>0</v>
      </c>
      <c r="D54" s="119">
        <v>0</v>
      </c>
      <c r="E54" s="118">
        <f>'Anexo IV - Despesas Analíticas'!C157</f>
        <v>0</v>
      </c>
      <c r="F54" s="119">
        <f>'Anexo IV - Despesas Analíticas'!D157</f>
        <v>0</v>
      </c>
      <c r="G54" s="236">
        <f>SUM(Tabela12[[#This Row],[GOVERNANÇA
Direção e Liderança]:[GESTÃO
Infraestrutura
]])</f>
        <v>0</v>
      </c>
      <c r="H54" s="240" t="e">
        <f>Tabela12[[#This Row],[Proposta Orçamentária 2023]]/Tabela12[[#This Row],[Orçado
2022]]</f>
        <v>#DIV/0!</v>
      </c>
      <c r="I54" s="118">
        <f>'Anexo IV - Despesas Analíticas'!I157</f>
        <v>0</v>
      </c>
      <c r="J54" s="20">
        <f>'Anexo IV - Despesas Analíticas'!J157</f>
        <v>0</v>
      </c>
      <c r="K54" s="20">
        <f>'Anexo IV - Despesas Analíticas'!K157</f>
        <v>0</v>
      </c>
      <c r="L54" s="119">
        <f>'Anexo IV - Despesas Analíticas'!L157</f>
        <v>0</v>
      </c>
      <c r="M54" s="20">
        <f>'Anexo IV - Despesas Analíticas'!M157</f>
        <v>0</v>
      </c>
      <c r="N54" s="20">
        <f>'Anexo IV - Despesas Analíticas'!N157</f>
        <v>0</v>
      </c>
      <c r="O54" s="119">
        <f>'Anexo IV - Despesas Analíticas'!O157</f>
        <v>0</v>
      </c>
      <c r="P54" s="20">
        <f>'Anexo IV - Despesas Analíticas'!P157</f>
        <v>0</v>
      </c>
      <c r="Q54" s="20">
        <f>'Anexo IV - Despesas Analíticas'!Q157</f>
        <v>0</v>
      </c>
      <c r="R54" s="20">
        <f>'Anexo IV - Despesas Analíticas'!R157</f>
        <v>0</v>
      </c>
      <c r="S54" s="176">
        <f>'Anexo IV - Despesas Analíticas'!S157</f>
        <v>0</v>
      </c>
    </row>
    <row r="55" spans="1:19" s="5" customFormat="1" ht="12.75" customHeight="1" x14ac:dyDescent="0.25">
      <c r="A55" s="98" t="s">
        <v>316</v>
      </c>
      <c r="B55" s="25" t="s">
        <v>317</v>
      </c>
      <c r="C55" s="118">
        <f>'Anexo IV - Despesas Analíticas'!C169</f>
        <v>0</v>
      </c>
      <c r="D55" s="119">
        <v>0</v>
      </c>
      <c r="E55" s="118">
        <f>'Anexo IV - Despesas Analíticas'!C169</f>
        <v>0</v>
      </c>
      <c r="F55" s="119">
        <f>'Anexo IV - Despesas Analíticas'!D169</f>
        <v>0</v>
      </c>
      <c r="G55" s="236">
        <f>SUM(Tabela12[[#This Row],[GOVERNANÇA
Direção e Liderança]:[GESTÃO
Infraestrutura
]])</f>
        <v>0</v>
      </c>
      <c r="H55" s="240" t="e">
        <f>Tabela12[[#This Row],[Proposta Orçamentária 2023]]/Tabela12[[#This Row],[Orçado
2022]]</f>
        <v>#DIV/0!</v>
      </c>
      <c r="I55" s="118">
        <f>'Anexo IV - Despesas Analíticas'!I169</f>
        <v>0</v>
      </c>
      <c r="J55" s="20">
        <f>'Anexo IV - Despesas Analíticas'!J169</f>
        <v>0</v>
      </c>
      <c r="K55" s="20">
        <f>'Anexo IV - Despesas Analíticas'!K169</f>
        <v>0</v>
      </c>
      <c r="L55" s="119">
        <f>'Anexo IV - Despesas Analíticas'!L169</f>
        <v>0</v>
      </c>
      <c r="M55" s="20">
        <f>'Anexo IV - Despesas Analíticas'!M169</f>
        <v>0</v>
      </c>
      <c r="N55" s="20">
        <f>'Anexo IV - Despesas Analíticas'!N169</f>
        <v>0</v>
      </c>
      <c r="O55" s="119">
        <f>'Anexo IV - Despesas Analíticas'!O169</f>
        <v>0</v>
      </c>
      <c r="P55" s="20">
        <f>'Anexo IV - Despesas Analíticas'!P169</f>
        <v>0</v>
      </c>
      <c r="Q55" s="20">
        <f>'Anexo IV - Despesas Analíticas'!Q169</f>
        <v>0</v>
      </c>
      <c r="R55" s="20">
        <f>'Anexo IV - Despesas Analíticas'!R169</f>
        <v>0</v>
      </c>
      <c r="S55" s="176">
        <f>'Anexo IV - Despesas Analíticas'!S169</f>
        <v>0</v>
      </c>
    </row>
    <row r="56" spans="1:19" s="5" customFormat="1" ht="12.75" customHeight="1" x14ac:dyDescent="0.25">
      <c r="A56" s="98" t="s">
        <v>326</v>
      </c>
      <c r="B56" s="25" t="s">
        <v>327</v>
      </c>
      <c r="C56" s="118">
        <f>SUM(C57)</f>
        <v>10200000</v>
      </c>
      <c r="D56" s="119">
        <f>SUM(D57)</f>
        <v>8416724.1300000008</v>
      </c>
      <c r="E56" s="118">
        <f>SUM(E57)</f>
        <v>16201852.689999999</v>
      </c>
      <c r="F56" s="119">
        <f>SUM(F57)</f>
        <v>12127.06</v>
      </c>
      <c r="G56" s="236">
        <f>SUM(Tabela12[[#This Row],[GOVERNANÇA
Direção e Liderança]:[GESTÃO
Infraestrutura
]])</f>
        <v>20265000</v>
      </c>
      <c r="H56" s="222">
        <f>Tabela12[[#This Row],[Proposta Orçamentária 2023]]/Tabela12[[#This Row],[Orçado
2022]]</f>
        <v>1.2507828819174382</v>
      </c>
      <c r="I56" s="118">
        <f t="shared" ref="I56:J56" si="78">SUM(I57)</f>
        <v>0</v>
      </c>
      <c r="J56" s="20">
        <f t="shared" si="78"/>
        <v>0</v>
      </c>
      <c r="K56" s="20">
        <f t="shared" ref="K56" si="79">SUM(K57)</f>
        <v>20265000</v>
      </c>
      <c r="L56" s="119">
        <f t="shared" ref="L56" si="80">SUM(L57)</f>
        <v>0</v>
      </c>
      <c r="M56" s="20">
        <f t="shared" ref="M56" si="81">SUM(M57)</f>
        <v>0</v>
      </c>
      <c r="N56" s="20">
        <f t="shared" ref="N56" si="82">SUM(N57)</f>
        <v>0</v>
      </c>
      <c r="O56" s="119">
        <f t="shared" ref="O56" si="83">SUM(O57)</f>
        <v>0</v>
      </c>
      <c r="P56" s="20">
        <f t="shared" ref="P56" si="84">SUM(P57)</f>
        <v>0</v>
      </c>
      <c r="Q56" s="20">
        <f t="shared" ref="Q56" si="85">SUM(Q57)</f>
        <v>0</v>
      </c>
      <c r="R56" s="20">
        <f t="shared" ref="R56" si="86">SUM(R57)</f>
        <v>0</v>
      </c>
      <c r="S56" s="176">
        <f t="shared" ref="S56" si="87">SUM(S57)</f>
        <v>0</v>
      </c>
    </row>
    <row r="57" spans="1:19" ht="12.75" customHeight="1" thickBot="1" x14ac:dyDescent="0.3">
      <c r="A57" s="100" t="s">
        <v>328</v>
      </c>
      <c r="B57" s="71" t="s">
        <v>815</v>
      </c>
      <c r="C57" s="120">
        <v>10200000</v>
      </c>
      <c r="D57" s="121">
        <v>8416724.1300000008</v>
      </c>
      <c r="E57" s="120">
        <f>'Anexo IV - Despesas Analíticas'!C178</f>
        <v>16201852.689999999</v>
      </c>
      <c r="F57" s="121">
        <f>'Anexo IV - Despesas Analíticas'!D178</f>
        <v>12127.06</v>
      </c>
      <c r="G57" s="237">
        <f>SUM(Tabela12[[#This Row],[GOVERNANÇA
Direção e Liderança]:[GESTÃO
Infraestrutura
]])</f>
        <v>20265000</v>
      </c>
      <c r="H57" s="225">
        <f>Tabela12[[#This Row],[Proposta Orçamentária 2023]]/Tabela12[[#This Row],[Orçado
2022]]</f>
        <v>1.2507828819174382</v>
      </c>
      <c r="I57" s="120">
        <f>'Anexo IV - Despesas Analíticas'!I178</f>
        <v>0</v>
      </c>
      <c r="J57" s="19">
        <f>'Anexo IV - Despesas Analíticas'!J178</f>
        <v>0</v>
      </c>
      <c r="K57" s="19">
        <f>'Anexo IV - Despesas Analíticas'!K178</f>
        <v>20265000</v>
      </c>
      <c r="L57" s="121">
        <f>'Anexo IV - Despesas Analíticas'!L178</f>
        <v>0</v>
      </c>
      <c r="M57" s="19">
        <f>'Anexo IV - Despesas Analíticas'!M178</f>
        <v>0</v>
      </c>
      <c r="N57" s="19">
        <f>'Anexo IV - Despesas Analíticas'!N178</f>
        <v>0</v>
      </c>
      <c r="O57" s="121">
        <f>'Anexo IV - Despesas Analíticas'!O178</f>
        <v>0</v>
      </c>
      <c r="P57" s="19">
        <f>'Anexo IV - Despesas Analíticas'!P178</f>
        <v>0</v>
      </c>
      <c r="Q57" s="19">
        <f>'Anexo IV - Despesas Analíticas'!Q178</f>
        <v>0</v>
      </c>
      <c r="R57" s="19">
        <f>'Anexo IV - Despesas Analíticas'!R178</f>
        <v>0</v>
      </c>
      <c r="S57" s="177">
        <f>'Anexo IV - Despesas Analíticas'!S178</f>
        <v>0</v>
      </c>
    </row>
    <row r="58" spans="1:19" ht="21" customHeight="1" thickBot="1" x14ac:dyDescent="0.3">
      <c r="A58" s="124"/>
      <c r="B58" s="125" t="s">
        <v>593</v>
      </c>
      <c r="C58" s="126">
        <f>C10+C49</f>
        <v>164000000</v>
      </c>
      <c r="D58" s="127">
        <f>D10+D49</f>
        <v>137912431.67000002</v>
      </c>
      <c r="E58" s="126">
        <f>E10+E49</f>
        <v>272615000</v>
      </c>
      <c r="F58" s="127">
        <f>F10+F49</f>
        <v>59493607.339999996</v>
      </c>
      <c r="G58" s="239">
        <f>SUM(Tabela12[[#This Row],[GOVERNANÇA
Direção e Liderança]:[GESTÃO
Infraestrutura
]])</f>
        <v>304000000</v>
      </c>
      <c r="H58" s="241">
        <f>Tabela12[[#This Row],[Proposta Orçamentária 2023]]/Tabela12[[#This Row],[Orçado
2022]]</f>
        <v>1.1151257267575152</v>
      </c>
      <c r="I58" s="126">
        <f t="shared" ref="I58:S58" si="88">I10+I49</f>
        <v>33343930</v>
      </c>
      <c r="J58" s="178">
        <f t="shared" si="88"/>
        <v>35990495</v>
      </c>
      <c r="K58" s="178">
        <f t="shared" si="88"/>
        <v>49634035</v>
      </c>
      <c r="L58" s="127">
        <f t="shared" si="88"/>
        <v>20315525</v>
      </c>
      <c r="M58" s="178">
        <f t="shared" si="88"/>
        <v>1682585</v>
      </c>
      <c r="N58" s="178">
        <f t="shared" si="88"/>
        <v>200000</v>
      </c>
      <c r="O58" s="127">
        <f t="shared" si="88"/>
        <v>21924460</v>
      </c>
      <c r="P58" s="178">
        <f t="shared" si="88"/>
        <v>61169315</v>
      </c>
      <c r="Q58" s="178">
        <f t="shared" si="88"/>
        <v>24779035</v>
      </c>
      <c r="R58" s="178">
        <f t="shared" si="88"/>
        <v>36284580</v>
      </c>
      <c r="S58" s="179">
        <f t="shared" si="88"/>
        <v>18676040</v>
      </c>
    </row>
    <row r="59" spans="1:19" s="5" customFormat="1" ht="13.5" thickTop="1" x14ac:dyDescent="0.25">
      <c r="A59" s="46" t="str">
        <f>'Anexo II - Receitas Analíticas'!A90</f>
        <v>Decisão Plenária nº PL-</v>
      </c>
      <c r="B59" s="21"/>
      <c r="C59" s="10"/>
      <c r="D59" s="10"/>
      <c r="E59" s="10"/>
      <c r="F59" s="10"/>
      <c r="G59" s="53"/>
      <c r="H59" s="53"/>
    </row>
    <row r="60" spans="1:19" ht="12.75" x14ac:dyDescent="0.25">
      <c r="A60" s="314" t="str">
        <f>'Anexo II - Receitas Analíticas'!A91:G91</f>
        <v>Brasília-DF, Dezembro de 2022</v>
      </c>
      <c r="B60" s="314"/>
      <c r="C60" s="314"/>
      <c r="D60" s="314"/>
      <c r="E60" s="314"/>
      <c r="F60" s="314"/>
      <c r="G60" s="314"/>
      <c r="H60" s="2"/>
      <c r="I60" s="1"/>
      <c r="J60" s="1"/>
      <c r="K60" s="1"/>
      <c r="L60" s="1"/>
      <c r="M60" s="1"/>
      <c r="N60" s="1"/>
    </row>
    <row r="61" spans="1:19" ht="31.5" customHeight="1" x14ac:dyDescent="0.25">
      <c r="B61" s="4"/>
      <c r="E61" s="3"/>
      <c r="G61" s="16"/>
      <c r="H61" s="16"/>
      <c r="I61" s="1"/>
      <c r="J61" s="1"/>
      <c r="K61" s="1"/>
      <c r="L61" s="1"/>
      <c r="M61" s="1"/>
      <c r="N61" s="1"/>
    </row>
    <row r="62" spans="1:19" ht="12.75" x14ac:dyDescent="0.25">
      <c r="A62" s="319" t="str">
        <f>'Anexo II - Receitas Analíticas'!A93:B93</f>
        <v>Júlio César Gonçalves de Miranda</v>
      </c>
      <c r="B62" s="319"/>
      <c r="C62" s="319" t="str">
        <f>'Anexo II - Receitas Analíticas'!C93:G93</f>
        <v>Jadir José Alberti</v>
      </c>
      <c r="D62" s="319"/>
      <c r="E62" s="319"/>
      <c r="F62" s="319"/>
      <c r="G62" s="319"/>
      <c r="H62" s="42"/>
      <c r="I62" s="1"/>
      <c r="J62" s="1"/>
      <c r="K62" s="1"/>
      <c r="L62" s="1"/>
      <c r="M62" s="1"/>
      <c r="N62" s="1"/>
    </row>
    <row r="63" spans="1:19" ht="12.75" x14ac:dyDescent="0.25">
      <c r="A63" s="314" t="str">
        <f>'Anexo II - Receitas Analíticas'!A94:B94</f>
        <v>Gerente de Orçamento e Contabilidade</v>
      </c>
      <c r="B63" s="314"/>
      <c r="C63" s="318" t="str">
        <f>'Anexo II - Receitas Analíticas'!C94:G94</f>
        <v>Superintendente Administrativo e Financeiro</v>
      </c>
      <c r="D63" s="318"/>
      <c r="E63" s="318"/>
      <c r="F63" s="318"/>
      <c r="G63" s="318"/>
      <c r="H63" s="156"/>
      <c r="I63" s="1"/>
      <c r="J63" s="1"/>
      <c r="K63" s="1"/>
      <c r="L63" s="1"/>
      <c r="M63" s="1"/>
      <c r="N63" s="1"/>
    </row>
    <row r="64" spans="1:19" ht="44.25" customHeight="1" x14ac:dyDescent="0.25">
      <c r="B64" s="4"/>
      <c r="E64" s="3"/>
      <c r="G64" s="16"/>
      <c r="H64" s="16"/>
      <c r="I64" s="1"/>
      <c r="J64" s="1"/>
      <c r="K64" s="1"/>
      <c r="L64" s="1"/>
      <c r="M64" s="1"/>
      <c r="N64" s="1"/>
    </row>
    <row r="65" spans="1:14" ht="12.75" x14ac:dyDescent="0.25">
      <c r="A65" s="319" t="str">
        <f>'Anexo II - Receitas Analíticas'!A96:G96</f>
        <v>Eng. Civ. Joel Krüger</v>
      </c>
      <c r="B65" s="319"/>
      <c r="C65" s="319"/>
      <c r="D65" s="319"/>
      <c r="E65" s="319"/>
      <c r="F65" s="319"/>
      <c r="G65" s="319"/>
      <c r="H65" s="42"/>
      <c r="I65" s="1"/>
      <c r="J65" s="1"/>
      <c r="K65" s="1"/>
      <c r="L65" s="1"/>
      <c r="M65" s="1"/>
      <c r="N65" s="1"/>
    </row>
    <row r="66" spans="1:14" ht="12.75" x14ac:dyDescent="0.25">
      <c r="A66" s="318" t="str">
        <f>'Anexo II - Receitas Analíticas'!A97:G97</f>
        <v>Presidente do Confea</v>
      </c>
      <c r="B66" s="318"/>
      <c r="C66" s="318"/>
      <c r="D66" s="318"/>
      <c r="E66" s="318"/>
      <c r="F66" s="318"/>
      <c r="G66" s="318"/>
      <c r="H66" s="156"/>
      <c r="I66" s="1"/>
      <c r="J66" s="1"/>
      <c r="K66" s="1"/>
      <c r="L66" s="1"/>
      <c r="M66" s="1"/>
      <c r="N66" s="1"/>
    </row>
    <row r="67" spans="1:14" ht="12.75" x14ac:dyDescent="0.25">
      <c r="I67" s="1"/>
      <c r="J67" s="1"/>
      <c r="K67" s="1"/>
      <c r="L67" s="1"/>
      <c r="M67" s="1"/>
      <c r="N67" s="1"/>
    </row>
    <row r="68" spans="1:14" ht="12.75" x14ac:dyDescent="0.25">
      <c r="I68" s="1"/>
      <c r="J68" s="1"/>
      <c r="K68" s="1"/>
      <c r="L68" s="1"/>
      <c r="M68" s="1"/>
      <c r="N68" s="1"/>
    </row>
    <row r="69" spans="1:14" ht="12.75" x14ac:dyDescent="0.25">
      <c r="I69" s="1"/>
      <c r="J69" s="1"/>
      <c r="K69" s="1"/>
      <c r="L69" s="1"/>
      <c r="M69" s="1"/>
      <c r="N69" s="1"/>
    </row>
    <row r="70" spans="1:14" ht="12.75" x14ac:dyDescent="0.25">
      <c r="I70" s="1"/>
      <c r="J70" s="1"/>
      <c r="K70" s="1"/>
      <c r="L70" s="1"/>
      <c r="M70" s="1"/>
      <c r="N70" s="1"/>
    </row>
    <row r="71" spans="1:14" ht="12.75" x14ac:dyDescent="0.25">
      <c r="I71" s="1"/>
      <c r="J71" s="1"/>
      <c r="K71" s="1"/>
      <c r="L71" s="1"/>
      <c r="M71" s="1"/>
      <c r="N71" s="1"/>
    </row>
    <row r="72" spans="1:14" ht="12.75" x14ac:dyDescent="0.25">
      <c r="I72" s="1"/>
      <c r="J72" s="1"/>
      <c r="K72" s="1"/>
      <c r="L72" s="1"/>
      <c r="M72" s="1"/>
      <c r="N72" s="1"/>
    </row>
    <row r="73" spans="1:14" ht="12.75" x14ac:dyDescent="0.25">
      <c r="I73" s="1"/>
      <c r="J73" s="1"/>
      <c r="K73" s="1"/>
      <c r="L73" s="1"/>
      <c r="M73" s="1"/>
      <c r="N73" s="1"/>
    </row>
    <row r="74" spans="1:14" ht="12.75" x14ac:dyDescent="0.25">
      <c r="I74" s="1"/>
      <c r="J74" s="1"/>
      <c r="K74" s="1"/>
      <c r="L74" s="1"/>
      <c r="M74" s="1"/>
      <c r="N74" s="1"/>
    </row>
    <row r="75" spans="1:14" ht="12.75" x14ac:dyDescent="0.25">
      <c r="I75" s="1"/>
      <c r="J75" s="1"/>
      <c r="K75" s="1"/>
      <c r="L75" s="1"/>
      <c r="M75" s="1"/>
      <c r="N75" s="1"/>
    </row>
    <row r="76" spans="1:14" ht="12.75" x14ac:dyDescent="0.25">
      <c r="I76" s="1"/>
      <c r="J76" s="1"/>
      <c r="K76" s="1"/>
      <c r="L76" s="1"/>
      <c r="M76" s="1"/>
      <c r="N76" s="1"/>
    </row>
    <row r="77" spans="1:14" ht="12.75" x14ac:dyDescent="0.25">
      <c r="I77" s="1"/>
      <c r="J77" s="1"/>
      <c r="K77" s="1"/>
      <c r="L77" s="1"/>
      <c r="M77" s="1"/>
      <c r="N77" s="1"/>
    </row>
    <row r="78" spans="1:14" ht="12.75" x14ac:dyDescent="0.25">
      <c r="I78" s="1"/>
      <c r="J78" s="1"/>
      <c r="K78" s="1"/>
      <c r="L78" s="1"/>
      <c r="M78" s="1"/>
      <c r="N78" s="1"/>
    </row>
    <row r="79" spans="1:14" ht="12.75" x14ac:dyDescent="0.25">
      <c r="I79" s="1"/>
      <c r="J79" s="1"/>
      <c r="K79" s="1"/>
      <c r="L79" s="1"/>
      <c r="M79" s="1"/>
      <c r="N79" s="1"/>
    </row>
    <row r="80" spans="1:14" ht="12.75" x14ac:dyDescent="0.25">
      <c r="I80" s="1"/>
      <c r="J80" s="1"/>
      <c r="K80" s="1"/>
      <c r="L80" s="1"/>
      <c r="M80" s="1"/>
      <c r="N80" s="1"/>
    </row>
    <row r="81" spans="9:14" ht="12.75" x14ac:dyDescent="0.25">
      <c r="I81" s="1"/>
      <c r="J81" s="1"/>
      <c r="K81" s="1"/>
      <c r="L81" s="1"/>
      <c r="M81" s="1"/>
      <c r="N81" s="1"/>
    </row>
    <row r="82" spans="9:14" ht="12.75" x14ac:dyDescent="0.25">
      <c r="I82" s="1"/>
      <c r="J82" s="1"/>
      <c r="K82" s="1"/>
      <c r="L82" s="1"/>
      <c r="M82" s="1"/>
      <c r="N82" s="1"/>
    </row>
    <row r="83" spans="9:14" ht="12.75" x14ac:dyDescent="0.25">
      <c r="I83" s="1"/>
      <c r="J83" s="1"/>
      <c r="K83" s="1"/>
      <c r="L83" s="1"/>
      <c r="M83" s="1"/>
      <c r="N83" s="1"/>
    </row>
    <row r="84" spans="9:14" ht="12.75" x14ac:dyDescent="0.25">
      <c r="I84" s="1"/>
      <c r="J84" s="1"/>
      <c r="K84" s="1"/>
      <c r="L84" s="1"/>
      <c r="M84" s="1"/>
      <c r="N84" s="1"/>
    </row>
    <row r="85" spans="9:14" ht="12.75" x14ac:dyDescent="0.25">
      <c r="I85" s="1"/>
      <c r="J85" s="1"/>
      <c r="K85" s="1"/>
      <c r="L85" s="1"/>
      <c r="M85" s="1"/>
      <c r="N85" s="1"/>
    </row>
    <row r="86" spans="9:14" ht="12.75" x14ac:dyDescent="0.25">
      <c r="I86" s="1"/>
      <c r="J86" s="1"/>
      <c r="K86" s="1"/>
      <c r="L86" s="1"/>
      <c r="M86" s="1"/>
      <c r="N86" s="1"/>
    </row>
    <row r="87" spans="9:14" ht="12.75" x14ac:dyDescent="0.25">
      <c r="I87" s="1"/>
      <c r="J87" s="1"/>
      <c r="K87" s="1"/>
      <c r="L87" s="1"/>
      <c r="M87" s="1"/>
      <c r="N87" s="1"/>
    </row>
    <row r="88" spans="9:14" ht="12.75" x14ac:dyDescent="0.25">
      <c r="I88" s="1"/>
      <c r="J88" s="1"/>
      <c r="K88" s="1"/>
      <c r="L88" s="1"/>
      <c r="M88" s="1"/>
      <c r="N88" s="1"/>
    </row>
    <row r="89" spans="9:14" ht="12.75" x14ac:dyDescent="0.25">
      <c r="I89" s="1"/>
      <c r="J89" s="1"/>
      <c r="K89" s="1"/>
      <c r="L89" s="1"/>
      <c r="M89" s="1"/>
      <c r="N89" s="1"/>
    </row>
    <row r="90" spans="9:14" ht="12.75" x14ac:dyDescent="0.25">
      <c r="I90" s="1"/>
      <c r="J90" s="1"/>
      <c r="K90" s="1"/>
      <c r="L90" s="1"/>
      <c r="M90" s="1"/>
      <c r="N90" s="1"/>
    </row>
    <row r="91" spans="9:14" ht="12.75" x14ac:dyDescent="0.25">
      <c r="I91" s="1"/>
      <c r="J91" s="1"/>
      <c r="K91" s="1"/>
      <c r="L91" s="1"/>
      <c r="M91" s="1"/>
      <c r="N91" s="1"/>
    </row>
    <row r="92" spans="9:14" ht="12.75" x14ac:dyDescent="0.25">
      <c r="I92" s="1"/>
      <c r="J92" s="1"/>
      <c r="K92" s="1"/>
      <c r="L92" s="1"/>
      <c r="M92" s="1"/>
      <c r="N92" s="1"/>
    </row>
    <row r="93" spans="9:14" ht="12.75" x14ac:dyDescent="0.25">
      <c r="I93" s="1"/>
      <c r="J93" s="1"/>
      <c r="K93" s="1"/>
      <c r="L93" s="1"/>
      <c r="M93" s="1"/>
      <c r="N93" s="1"/>
    </row>
    <row r="94" spans="9:14" ht="12.75" x14ac:dyDescent="0.25">
      <c r="I94" s="1"/>
      <c r="J94" s="1"/>
      <c r="K94" s="1"/>
      <c r="L94" s="1"/>
      <c r="M94" s="1"/>
      <c r="N94" s="1"/>
    </row>
    <row r="95" spans="9:14" ht="12.75" x14ac:dyDescent="0.25">
      <c r="I95" s="1"/>
      <c r="J95" s="1"/>
      <c r="K95" s="1"/>
      <c r="L95" s="1"/>
      <c r="M95" s="1"/>
      <c r="N95" s="1"/>
    </row>
    <row r="96" spans="9:14" ht="12.75" x14ac:dyDescent="0.25">
      <c r="I96" s="1"/>
      <c r="J96" s="1"/>
      <c r="K96" s="1"/>
      <c r="L96" s="1"/>
      <c r="M96" s="1"/>
      <c r="N96" s="1"/>
    </row>
    <row r="97" spans="9:14" ht="12.75" x14ac:dyDescent="0.25">
      <c r="I97" s="1"/>
      <c r="J97" s="1"/>
      <c r="K97" s="1"/>
      <c r="L97" s="1"/>
      <c r="M97" s="1"/>
      <c r="N97" s="1"/>
    </row>
    <row r="98" spans="9:14" ht="12.75" x14ac:dyDescent="0.25">
      <c r="I98" s="1"/>
      <c r="J98" s="1"/>
      <c r="K98" s="1"/>
      <c r="L98" s="1"/>
      <c r="M98" s="1"/>
      <c r="N98" s="1"/>
    </row>
    <row r="99" spans="9:14" ht="12.75" x14ac:dyDescent="0.25">
      <c r="I99" s="1"/>
      <c r="J99" s="1"/>
      <c r="K99" s="1"/>
      <c r="L99" s="1"/>
      <c r="M99" s="1"/>
      <c r="N99" s="1"/>
    </row>
    <row r="100" spans="9:14" ht="12.75" x14ac:dyDescent="0.25">
      <c r="I100" s="1"/>
      <c r="J100" s="1"/>
      <c r="K100" s="1"/>
      <c r="L100" s="1"/>
      <c r="M100" s="1"/>
      <c r="N100" s="1"/>
    </row>
    <row r="101" spans="9:14" ht="12.75" x14ac:dyDescent="0.25">
      <c r="I101" s="1"/>
      <c r="J101" s="1"/>
      <c r="K101" s="1"/>
      <c r="L101" s="1"/>
      <c r="M101" s="1"/>
      <c r="N101" s="1"/>
    </row>
    <row r="102" spans="9:14" ht="12.75" x14ac:dyDescent="0.25">
      <c r="I102" s="1"/>
      <c r="J102" s="1"/>
      <c r="K102" s="1"/>
      <c r="L102" s="1"/>
      <c r="M102" s="1"/>
      <c r="N102" s="1"/>
    </row>
    <row r="103" spans="9:14" ht="12.75" x14ac:dyDescent="0.25">
      <c r="I103" s="1"/>
      <c r="J103" s="1"/>
      <c r="K103" s="1"/>
      <c r="L103" s="1"/>
      <c r="M103" s="1"/>
      <c r="N103" s="1"/>
    </row>
    <row r="104" spans="9:14" ht="12.75" x14ac:dyDescent="0.25">
      <c r="I104" s="1"/>
      <c r="J104" s="1"/>
      <c r="K104" s="1"/>
      <c r="L104" s="1"/>
      <c r="M104" s="1"/>
      <c r="N104" s="1"/>
    </row>
    <row r="105" spans="9:14" ht="12.75" x14ac:dyDescent="0.25">
      <c r="I105" s="1"/>
      <c r="J105" s="1"/>
      <c r="K105" s="1"/>
      <c r="L105" s="1"/>
      <c r="M105" s="1"/>
      <c r="N105" s="1"/>
    </row>
    <row r="106" spans="9:14" ht="12.75" x14ac:dyDescent="0.25">
      <c r="I106" s="1"/>
      <c r="J106" s="1"/>
      <c r="K106" s="1"/>
      <c r="L106" s="1"/>
      <c r="M106" s="1"/>
      <c r="N106" s="1"/>
    </row>
    <row r="107" spans="9:14" ht="12.75" x14ac:dyDescent="0.25">
      <c r="I107" s="1"/>
      <c r="J107" s="1"/>
      <c r="K107" s="1"/>
      <c r="L107" s="1"/>
      <c r="M107" s="1"/>
      <c r="N107" s="1"/>
    </row>
    <row r="108" spans="9:14" ht="12.75" x14ac:dyDescent="0.25">
      <c r="I108" s="1"/>
      <c r="J108" s="1"/>
      <c r="K108" s="1"/>
      <c r="L108" s="1"/>
      <c r="M108" s="1"/>
      <c r="N108" s="1"/>
    </row>
    <row r="109" spans="9:14" ht="12.75" x14ac:dyDescent="0.25">
      <c r="I109" s="1"/>
      <c r="J109" s="1"/>
      <c r="K109" s="1"/>
      <c r="L109" s="1"/>
      <c r="M109" s="1"/>
      <c r="N109" s="1"/>
    </row>
    <row r="110" spans="9:14" ht="12.75" x14ac:dyDescent="0.25">
      <c r="I110" s="1"/>
      <c r="J110" s="1"/>
      <c r="K110" s="1"/>
      <c r="L110" s="1"/>
      <c r="M110" s="1"/>
      <c r="N110" s="1"/>
    </row>
    <row r="111" spans="9:14" ht="12.75" x14ac:dyDescent="0.25">
      <c r="I111" s="1"/>
      <c r="J111" s="1"/>
      <c r="K111" s="1"/>
      <c r="L111" s="1"/>
      <c r="M111" s="1"/>
      <c r="N111" s="1"/>
    </row>
    <row r="112" spans="9:14" ht="12.75" x14ac:dyDescent="0.25">
      <c r="I112" s="1"/>
      <c r="J112" s="1"/>
      <c r="K112" s="1"/>
      <c r="L112" s="1"/>
      <c r="M112" s="1"/>
      <c r="N112" s="1"/>
    </row>
    <row r="113" spans="9:14" ht="12.75" x14ac:dyDescent="0.25">
      <c r="I113" s="1"/>
      <c r="J113" s="1"/>
      <c r="K113" s="1"/>
      <c r="L113" s="1"/>
      <c r="M113" s="1"/>
      <c r="N113" s="1"/>
    </row>
    <row r="114" spans="9:14" ht="12.75" x14ac:dyDescent="0.25">
      <c r="I114" s="1"/>
      <c r="J114" s="1"/>
      <c r="K114" s="1"/>
      <c r="L114" s="1"/>
      <c r="M114" s="1"/>
      <c r="N114" s="1"/>
    </row>
    <row r="115" spans="9:14" ht="12.75" x14ac:dyDescent="0.25">
      <c r="I115" s="1"/>
      <c r="J115" s="1"/>
      <c r="K115" s="1"/>
      <c r="L115" s="1"/>
      <c r="M115" s="1"/>
      <c r="N115" s="1"/>
    </row>
    <row r="116" spans="9:14" ht="12.75" x14ac:dyDescent="0.25">
      <c r="I116" s="1"/>
      <c r="J116" s="1"/>
      <c r="K116" s="1"/>
      <c r="L116" s="1"/>
      <c r="M116" s="1"/>
      <c r="N116" s="1"/>
    </row>
    <row r="117" spans="9:14" ht="12.75" x14ac:dyDescent="0.25">
      <c r="I117" s="1"/>
      <c r="J117" s="1"/>
      <c r="K117" s="1"/>
      <c r="L117" s="1"/>
      <c r="M117" s="1"/>
      <c r="N117" s="1"/>
    </row>
    <row r="118" spans="9:14" ht="12.75" x14ac:dyDescent="0.25">
      <c r="I118" s="1"/>
      <c r="J118" s="1"/>
      <c r="K118" s="1"/>
      <c r="L118" s="1"/>
      <c r="M118" s="1"/>
      <c r="N118" s="1"/>
    </row>
    <row r="119" spans="9:14" ht="12.75" x14ac:dyDescent="0.25">
      <c r="I119" s="1"/>
      <c r="J119" s="1"/>
      <c r="K119" s="1"/>
      <c r="L119" s="1"/>
      <c r="M119" s="1"/>
      <c r="N119" s="1"/>
    </row>
    <row r="120" spans="9:14" ht="12.75" x14ac:dyDescent="0.25">
      <c r="I120" s="1"/>
      <c r="J120" s="1"/>
      <c r="K120" s="1"/>
      <c r="L120" s="1"/>
      <c r="M120" s="1"/>
      <c r="N120" s="1"/>
    </row>
    <row r="121" spans="9:14" ht="12.75" x14ac:dyDescent="0.25">
      <c r="I121" s="1"/>
      <c r="J121" s="1"/>
      <c r="K121" s="1"/>
      <c r="L121" s="1"/>
      <c r="M121" s="1"/>
      <c r="N121" s="1"/>
    </row>
    <row r="122" spans="9:14" ht="12.75" x14ac:dyDescent="0.25">
      <c r="I122" s="1"/>
      <c r="J122" s="1"/>
      <c r="K122" s="1"/>
      <c r="L122" s="1"/>
      <c r="M122" s="1"/>
      <c r="N122" s="1"/>
    </row>
    <row r="123" spans="9:14" ht="12.75" x14ac:dyDescent="0.25">
      <c r="I123" s="1"/>
      <c r="J123" s="1"/>
      <c r="K123" s="1"/>
      <c r="L123" s="1"/>
      <c r="M123" s="1"/>
      <c r="N123" s="1"/>
    </row>
    <row r="124" spans="9:14" ht="12.75" x14ac:dyDescent="0.25">
      <c r="I124" s="1"/>
      <c r="J124" s="1"/>
      <c r="K124" s="1"/>
      <c r="L124" s="1"/>
      <c r="M124" s="1"/>
      <c r="N124" s="1"/>
    </row>
    <row r="125" spans="9:14" ht="12.75" x14ac:dyDescent="0.25">
      <c r="I125" s="1"/>
      <c r="J125" s="1"/>
      <c r="K125" s="1"/>
      <c r="L125" s="1"/>
      <c r="M125" s="1"/>
      <c r="N125" s="1"/>
    </row>
    <row r="126" spans="9:14" ht="12.75" x14ac:dyDescent="0.25">
      <c r="I126" s="1"/>
      <c r="J126" s="1"/>
      <c r="K126" s="1"/>
      <c r="L126" s="1"/>
      <c r="M126" s="1"/>
      <c r="N126" s="1"/>
    </row>
    <row r="127" spans="9:14" ht="12.75" x14ac:dyDescent="0.25">
      <c r="I127" s="1"/>
      <c r="J127" s="1"/>
      <c r="K127" s="1"/>
      <c r="L127" s="1"/>
      <c r="M127" s="1"/>
      <c r="N127" s="1"/>
    </row>
    <row r="128" spans="9:14" ht="12.75" x14ac:dyDescent="0.25">
      <c r="I128" s="1"/>
      <c r="J128" s="1"/>
      <c r="K128" s="1"/>
      <c r="L128" s="1"/>
      <c r="M128" s="1"/>
      <c r="N128" s="1"/>
    </row>
    <row r="129" spans="9:14" ht="12.75" x14ac:dyDescent="0.25">
      <c r="I129" s="1"/>
      <c r="J129" s="1"/>
      <c r="K129" s="1"/>
      <c r="L129" s="1"/>
      <c r="M129" s="1"/>
      <c r="N129" s="1"/>
    </row>
    <row r="130" spans="9:14" ht="12.75" x14ac:dyDescent="0.25">
      <c r="I130" s="1"/>
      <c r="J130" s="1"/>
      <c r="K130" s="1"/>
      <c r="L130" s="1"/>
      <c r="M130" s="1"/>
      <c r="N130" s="1"/>
    </row>
    <row r="131" spans="9:14" ht="12.75" x14ac:dyDescent="0.25">
      <c r="I131" s="1"/>
      <c r="J131" s="1"/>
      <c r="K131" s="1"/>
      <c r="L131" s="1"/>
      <c r="M131" s="1"/>
      <c r="N131" s="1"/>
    </row>
    <row r="132" spans="9:14" ht="12.75" x14ac:dyDescent="0.25">
      <c r="I132" s="1"/>
      <c r="J132" s="1"/>
      <c r="K132" s="1"/>
      <c r="L132" s="1"/>
      <c r="M132" s="1"/>
      <c r="N132" s="1"/>
    </row>
    <row r="133" spans="9:14" ht="12.75" x14ac:dyDescent="0.25">
      <c r="I133" s="1"/>
      <c r="J133" s="1"/>
      <c r="K133" s="1"/>
      <c r="L133" s="1"/>
      <c r="M133" s="1"/>
      <c r="N133" s="1"/>
    </row>
    <row r="134" spans="9:14" ht="12.75" x14ac:dyDescent="0.25">
      <c r="I134" s="1"/>
      <c r="J134" s="1"/>
      <c r="K134" s="1"/>
      <c r="L134" s="1"/>
      <c r="M134" s="1"/>
      <c r="N134" s="1"/>
    </row>
    <row r="135" spans="9:14" ht="12.75" x14ac:dyDescent="0.25">
      <c r="I135" s="1"/>
      <c r="J135" s="1"/>
      <c r="K135" s="1"/>
      <c r="L135" s="1"/>
      <c r="M135" s="1"/>
      <c r="N135" s="1"/>
    </row>
    <row r="136" spans="9:14" ht="12.75" x14ac:dyDescent="0.25">
      <c r="I136" s="1"/>
      <c r="J136" s="1"/>
      <c r="K136" s="1"/>
      <c r="L136" s="1"/>
      <c r="M136" s="1"/>
      <c r="N136" s="1"/>
    </row>
    <row r="137" spans="9:14" ht="12.75" x14ac:dyDescent="0.25">
      <c r="I137" s="1"/>
      <c r="J137" s="1"/>
      <c r="K137" s="1"/>
      <c r="L137" s="1"/>
      <c r="M137" s="1"/>
      <c r="N137" s="1"/>
    </row>
    <row r="138" spans="9:14" ht="12.75" x14ac:dyDescent="0.25">
      <c r="I138" s="1"/>
      <c r="J138" s="1"/>
      <c r="K138" s="1"/>
      <c r="L138" s="1"/>
      <c r="M138" s="1"/>
      <c r="N138" s="1"/>
    </row>
    <row r="139" spans="9:14" ht="12.75" x14ac:dyDescent="0.25">
      <c r="I139" s="1"/>
      <c r="J139" s="1"/>
      <c r="K139" s="1"/>
      <c r="L139" s="1"/>
      <c r="M139" s="1"/>
      <c r="N139" s="1"/>
    </row>
    <row r="140" spans="9:14" ht="12.75" x14ac:dyDescent="0.25">
      <c r="I140" s="1"/>
      <c r="J140" s="1"/>
      <c r="K140" s="1"/>
      <c r="L140" s="1"/>
      <c r="M140" s="1"/>
      <c r="N140" s="1"/>
    </row>
    <row r="141" spans="9:14" ht="12.75" x14ac:dyDescent="0.25">
      <c r="I141" s="1"/>
      <c r="J141" s="1"/>
      <c r="K141" s="1"/>
      <c r="L141" s="1"/>
      <c r="M141" s="1"/>
      <c r="N141" s="1"/>
    </row>
    <row r="142" spans="9:14" ht="12.75" x14ac:dyDescent="0.25">
      <c r="I142" s="1"/>
      <c r="J142" s="1"/>
      <c r="K142" s="1"/>
      <c r="L142" s="1"/>
      <c r="M142" s="1"/>
      <c r="N142" s="1"/>
    </row>
    <row r="143" spans="9:14" ht="12.75" x14ac:dyDescent="0.25">
      <c r="I143" s="1"/>
      <c r="J143" s="1"/>
      <c r="K143" s="1"/>
      <c r="L143" s="1"/>
      <c r="M143" s="1"/>
      <c r="N143" s="1"/>
    </row>
    <row r="144" spans="9:14" ht="12.75" x14ac:dyDescent="0.25">
      <c r="I144" s="1"/>
      <c r="J144" s="1"/>
      <c r="K144" s="1"/>
      <c r="L144" s="1"/>
      <c r="M144" s="1"/>
      <c r="N144" s="1"/>
    </row>
    <row r="145" spans="9:14" ht="12.75" x14ac:dyDescent="0.25">
      <c r="I145" s="1"/>
      <c r="J145" s="1"/>
      <c r="K145" s="1"/>
      <c r="L145" s="1"/>
      <c r="M145" s="1"/>
      <c r="N145" s="1"/>
    </row>
    <row r="146" spans="9:14" ht="12.75" x14ac:dyDescent="0.25">
      <c r="I146" s="1"/>
      <c r="J146" s="1"/>
      <c r="K146" s="1"/>
      <c r="L146" s="1"/>
      <c r="M146" s="1"/>
      <c r="N146" s="1"/>
    </row>
    <row r="147" spans="9:14" ht="12.75" x14ac:dyDescent="0.25">
      <c r="I147" s="1"/>
      <c r="J147" s="1"/>
      <c r="K147" s="1"/>
      <c r="L147" s="1"/>
      <c r="M147" s="1"/>
      <c r="N147" s="1"/>
    </row>
    <row r="148" spans="9:14" ht="12.75" x14ac:dyDescent="0.25">
      <c r="I148" s="1"/>
      <c r="J148" s="1"/>
      <c r="K148" s="1"/>
      <c r="L148" s="1"/>
      <c r="M148" s="1"/>
      <c r="N148" s="1"/>
    </row>
    <row r="149" spans="9:14" ht="12.75" x14ac:dyDescent="0.25">
      <c r="I149" s="1"/>
      <c r="J149" s="1"/>
      <c r="K149" s="1"/>
      <c r="L149" s="1"/>
      <c r="M149" s="1"/>
      <c r="N149" s="1"/>
    </row>
    <row r="150" spans="9:14" ht="12.75" x14ac:dyDescent="0.25">
      <c r="I150" s="1"/>
      <c r="J150" s="1"/>
      <c r="K150" s="1"/>
      <c r="L150" s="1"/>
      <c r="M150" s="1"/>
      <c r="N150" s="1"/>
    </row>
    <row r="151" spans="9:14" ht="12.75" x14ac:dyDescent="0.25">
      <c r="I151" s="1"/>
      <c r="J151" s="1"/>
      <c r="K151" s="1"/>
      <c r="L151" s="1"/>
      <c r="M151" s="1"/>
      <c r="N151" s="1"/>
    </row>
    <row r="152" spans="9:14" ht="12.75" x14ac:dyDescent="0.25">
      <c r="I152" s="1"/>
      <c r="J152" s="1"/>
      <c r="K152" s="1"/>
      <c r="L152" s="1"/>
      <c r="M152" s="1"/>
      <c r="N152" s="1"/>
    </row>
    <row r="153" spans="9:14" ht="12.75" x14ac:dyDescent="0.25">
      <c r="I153" s="1"/>
      <c r="J153" s="1"/>
      <c r="K153" s="1"/>
      <c r="L153" s="1"/>
      <c r="M153" s="1"/>
      <c r="N153" s="1"/>
    </row>
    <row r="154" spans="9:14" ht="12.75" x14ac:dyDescent="0.25">
      <c r="I154" s="1"/>
      <c r="J154" s="1"/>
      <c r="K154" s="1"/>
      <c r="L154" s="1"/>
      <c r="M154" s="1"/>
      <c r="N154" s="1"/>
    </row>
    <row r="155" spans="9:14" ht="12.75" x14ac:dyDescent="0.25">
      <c r="I155" s="1"/>
      <c r="J155" s="1"/>
      <c r="K155" s="1"/>
      <c r="L155" s="1"/>
      <c r="M155" s="1"/>
      <c r="N155" s="1"/>
    </row>
    <row r="156" spans="9:14" ht="12.75" x14ac:dyDescent="0.25">
      <c r="I156" s="1"/>
      <c r="J156" s="1"/>
      <c r="K156" s="1"/>
      <c r="L156" s="1"/>
      <c r="M156" s="1"/>
      <c r="N156" s="1"/>
    </row>
    <row r="157" spans="9:14" ht="12.75" x14ac:dyDescent="0.25">
      <c r="I157" s="1"/>
      <c r="J157" s="1"/>
      <c r="K157" s="1"/>
      <c r="L157" s="1"/>
      <c r="M157" s="1"/>
      <c r="N157" s="1"/>
    </row>
    <row r="158" spans="9:14" ht="12.75" x14ac:dyDescent="0.25">
      <c r="I158" s="1"/>
      <c r="J158" s="1"/>
      <c r="K158" s="1"/>
      <c r="L158" s="1"/>
      <c r="M158" s="1"/>
      <c r="N158" s="1"/>
    </row>
    <row r="159" spans="9:14" ht="12.75" x14ac:dyDescent="0.25">
      <c r="I159" s="1"/>
      <c r="J159" s="1"/>
      <c r="K159" s="1"/>
      <c r="L159" s="1"/>
      <c r="M159" s="1"/>
      <c r="N159" s="1"/>
    </row>
    <row r="160" spans="9:14" ht="12.75" x14ac:dyDescent="0.25">
      <c r="I160" s="1"/>
      <c r="J160" s="1"/>
      <c r="K160" s="1"/>
      <c r="L160" s="1"/>
      <c r="M160" s="1"/>
      <c r="N160" s="1"/>
    </row>
    <row r="161" spans="9:14" ht="12.75" x14ac:dyDescent="0.25">
      <c r="I161" s="1"/>
      <c r="J161" s="1"/>
      <c r="K161" s="1"/>
      <c r="L161" s="1"/>
      <c r="M161" s="1"/>
      <c r="N161" s="1"/>
    </row>
    <row r="162" spans="9:14" ht="12.75" x14ac:dyDescent="0.25">
      <c r="I162" s="1"/>
      <c r="J162" s="1"/>
      <c r="K162" s="1"/>
      <c r="L162" s="1"/>
      <c r="M162" s="1"/>
      <c r="N162" s="1"/>
    </row>
    <row r="163" spans="9:14" ht="12.75" x14ac:dyDescent="0.25">
      <c r="I163" s="1"/>
      <c r="J163" s="1"/>
      <c r="K163" s="1"/>
      <c r="L163" s="1"/>
      <c r="M163" s="1"/>
      <c r="N163" s="1"/>
    </row>
    <row r="164" spans="9:14" ht="12.75" x14ac:dyDescent="0.25">
      <c r="I164" s="1"/>
      <c r="J164" s="1"/>
      <c r="K164" s="1"/>
      <c r="L164" s="1"/>
      <c r="M164" s="1"/>
      <c r="N164" s="1"/>
    </row>
    <row r="165" spans="9:14" ht="12.75" x14ac:dyDescent="0.25">
      <c r="I165" s="1"/>
      <c r="J165" s="1"/>
      <c r="K165" s="1"/>
      <c r="L165" s="1"/>
      <c r="M165" s="1"/>
      <c r="N165" s="1"/>
    </row>
    <row r="166" spans="9:14" ht="12.75" x14ac:dyDescent="0.25">
      <c r="I166" s="1"/>
      <c r="J166" s="1"/>
      <c r="K166" s="1"/>
      <c r="L166" s="1"/>
      <c r="M166" s="1"/>
      <c r="N166" s="1"/>
    </row>
    <row r="167" spans="9:14" ht="12.75" x14ac:dyDescent="0.25">
      <c r="I167" s="1"/>
      <c r="J167" s="1"/>
      <c r="K167" s="1"/>
      <c r="L167" s="1"/>
      <c r="M167" s="1"/>
      <c r="N167" s="1"/>
    </row>
    <row r="168" spans="9:14" ht="12.75" x14ac:dyDescent="0.25">
      <c r="I168" s="1"/>
      <c r="J168" s="1"/>
      <c r="K168" s="1"/>
      <c r="L168" s="1"/>
      <c r="M168" s="1"/>
      <c r="N168" s="1"/>
    </row>
    <row r="169" spans="9:14" ht="12.75" x14ac:dyDescent="0.25">
      <c r="I169" s="1"/>
      <c r="J169" s="1"/>
      <c r="K169" s="1"/>
      <c r="L169" s="1"/>
      <c r="M169" s="1"/>
      <c r="N169" s="1"/>
    </row>
    <row r="170" spans="9:14" ht="12.75" x14ac:dyDescent="0.25">
      <c r="I170" s="1"/>
      <c r="J170" s="1"/>
      <c r="K170" s="1"/>
      <c r="L170" s="1"/>
      <c r="M170" s="1"/>
      <c r="N170" s="1"/>
    </row>
    <row r="171" spans="9:14" ht="12.75" x14ac:dyDescent="0.25">
      <c r="I171" s="1"/>
      <c r="J171" s="1"/>
      <c r="K171" s="1"/>
      <c r="L171" s="1"/>
      <c r="M171" s="1"/>
      <c r="N171" s="1"/>
    </row>
    <row r="172" spans="9:14" ht="12.75" x14ac:dyDescent="0.25">
      <c r="I172" s="1"/>
      <c r="J172" s="1"/>
      <c r="K172" s="1"/>
      <c r="L172" s="1"/>
      <c r="M172" s="1"/>
      <c r="N172" s="1"/>
    </row>
    <row r="173" spans="9:14" ht="12.75" x14ac:dyDescent="0.25">
      <c r="I173" s="1"/>
      <c r="J173" s="1"/>
      <c r="K173" s="1"/>
      <c r="L173" s="1"/>
      <c r="M173" s="1"/>
      <c r="N173" s="1"/>
    </row>
    <row r="174" spans="9:14" ht="12.75" x14ac:dyDescent="0.25">
      <c r="I174" s="1"/>
      <c r="J174" s="1"/>
      <c r="K174" s="1"/>
      <c r="L174" s="1"/>
      <c r="M174" s="1"/>
      <c r="N174" s="1"/>
    </row>
    <row r="175" spans="9:14" ht="12.75" x14ac:dyDescent="0.25">
      <c r="I175" s="1"/>
      <c r="J175" s="1"/>
      <c r="K175" s="1"/>
      <c r="L175" s="1"/>
      <c r="M175" s="1"/>
      <c r="N175" s="1"/>
    </row>
    <row r="176" spans="9:14" ht="12.75" x14ac:dyDescent="0.25">
      <c r="I176" s="1"/>
      <c r="J176" s="1"/>
      <c r="K176" s="1"/>
      <c r="L176" s="1"/>
      <c r="M176" s="1"/>
      <c r="N176" s="1"/>
    </row>
    <row r="177" spans="9:14" ht="12.75" x14ac:dyDescent="0.25">
      <c r="I177" s="1"/>
      <c r="J177" s="1"/>
      <c r="K177" s="1"/>
      <c r="L177" s="1"/>
      <c r="M177" s="1"/>
      <c r="N177" s="1"/>
    </row>
    <row r="178" spans="9:14" ht="12.75" x14ac:dyDescent="0.25">
      <c r="I178" s="1"/>
      <c r="J178" s="1"/>
      <c r="K178" s="1"/>
      <c r="L178" s="1"/>
      <c r="M178" s="1"/>
      <c r="N178" s="1"/>
    </row>
    <row r="179" spans="9:14" ht="12.75" x14ac:dyDescent="0.25">
      <c r="I179" s="1"/>
      <c r="J179" s="1"/>
      <c r="K179" s="1"/>
      <c r="L179" s="1"/>
      <c r="M179" s="1"/>
      <c r="N179" s="1"/>
    </row>
    <row r="180" spans="9:14" ht="12.75" x14ac:dyDescent="0.25">
      <c r="I180" s="1"/>
      <c r="J180" s="1"/>
      <c r="K180" s="1"/>
      <c r="L180" s="1"/>
      <c r="M180" s="1"/>
      <c r="N180" s="1"/>
    </row>
    <row r="181" spans="9:14" ht="12.75" x14ac:dyDescent="0.25">
      <c r="I181" s="1"/>
      <c r="J181" s="1"/>
      <c r="K181" s="1"/>
      <c r="L181" s="1"/>
      <c r="M181" s="1"/>
      <c r="N181" s="1"/>
    </row>
    <row r="182" spans="9:14" ht="12.75" x14ac:dyDescent="0.25">
      <c r="I182" s="1"/>
      <c r="J182" s="1"/>
      <c r="K182" s="1"/>
      <c r="L182" s="1"/>
      <c r="M182" s="1"/>
      <c r="N182" s="1"/>
    </row>
    <row r="183" spans="9:14" ht="12.75" x14ac:dyDescent="0.25">
      <c r="I183" s="1"/>
      <c r="J183" s="1"/>
      <c r="K183" s="1"/>
      <c r="L183" s="1"/>
      <c r="M183" s="1"/>
      <c r="N183" s="1"/>
    </row>
    <row r="184" spans="9:14" ht="12.75" x14ac:dyDescent="0.25">
      <c r="I184" s="1"/>
      <c r="J184" s="1"/>
      <c r="K184" s="1"/>
      <c r="L184" s="1"/>
      <c r="M184" s="1"/>
      <c r="N184" s="1"/>
    </row>
    <row r="185" spans="9:14" ht="12.75" x14ac:dyDescent="0.25">
      <c r="I185" s="1"/>
      <c r="J185" s="1"/>
      <c r="K185" s="1"/>
      <c r="L185" s="1"/>
      <c r="M185" s="1"/>
      <c r="N185" s="1"/>
    </row>
    <row r="186" spans="9:14" ht="12.75" x14ac:dyDescent="0.25">
      <c r="I186" s="1"/>
      <c r="J186" s="1"/>
      <c r="K186" s="1"/>
      <c r="L186" s="1"/>
      <c r="M186" s="1"/>
      <c r="N186" s="1"/>
    </row>
    <row r="187" spans="9:14" ht="12.75" x14ac:dyDescent="0.25">
      <c r="I187" s="1"/>
      <c r="J187" s="1"/>
      <c r="K187" s="1"/>
      <c r="L187" s="1"/>
      <c r="M187" s="1"/>
      <c r="N187" s="1"/>
    </row>
    <row r="188" spans="9:14" ht="12.75" x14ac:dyDescent="0.25">
      <c r="I188" s="1"/>
      <c r="J188" s="1"/>
      <c r="K188" s="1"/>
      <c r="L188" s="1"/>
      <c r="M188" s="1"/>
      <c r="N188" s="1"/>
    </row>
    <row r="189" spans="9:14" ht="12.75" x14ac:dyDescent="0.25">
      <c r="I189" s="1"/>
      <c r="J189" s="1"/>
      <c r="K189" s="1"/>
      <c r="L189" s="1"/>
      <c r="M189" s="1"/>
      <c r="N189" s="1"/>
    </row>
    <row r="190" spans="9:14" ht="12.75" x14ac:dyDescent="0.25">
      <c r="I190" s="1"/>
      <c r="J190" s="1"/>
      <c r="K190" s="1"/>
      <c r="L190" s="1"/>
      <c r="M190" s="1"/>
      <c r="N190" s="1"/>
    </row>
    <row r="191" spans="9:14" ht="12.75" x14ac:dyDescent="0.25">
      <c r="I191" s="1"/>
      <c r="J191" s="1"/>
      <c r="K191" s="1"/>
      <c r="L191" s="1"/>
      <c r="M191" s="1"/>
      <c r="N191" s="1"/>
    </row>
    <row r="192" spans="9:14" ht="12.75" x14ac:dyDescent="0.25">
      <c r="I192" s="1"/>
      <c r="J192" s="1"/>
      <c r="K192" s="1"/>
      <c r="L192" s="1"/>
      <c r="M192" s="1"/>
      <c r="N192" s="1"/>
    </row>
    <row r="193" spans="9:14" ht="12.75" x14ac:dyDescent="0.25">
      <c r="I193" s="1"/>
      <c r="J193" s="1"/>
      <c r="K193" s="1"/>
      <c r="L193" s="1"/>
      <c r="M193" s="1"/>
      <c r="N193" s="1"/>
    </row>
    <row r="194" spans="9:14" ht="12.75" x14ac:dyDescent="0.25">
      <c r="I194" s="1"/>
      <c r="J194" s="1"/>
      <c r="K194" s="1"/>
      <c r="L194" s="1"/>
      <c r="M194" s="1"/>
      <c r="N194" s="1"/>
    </row>
    <row r="195" spans="9:14" ht="12.75" x14ac:dyDescent="0.25">
      <c r="I195" s="1"/>
      <c r="J195" s="1"/>
      <c r="K195" s="1"/>
      <c r="L195" s="1"/>
      <c r="M195" s="1"/>
      <c r="N195" s="1"/>
    </row>
    <row r="196" spans="9:14" ht="12.75" x14ac:dyDescent="0.25">
      <c r="I196" s="1"/>
      <c r="J196" s="1"/>
      <c r="K196" s="1"/>
      <c r="L196" s="1"/>
      <c r="M196" s="1"/>
      <c r="N196" s="1"/>
    </row>
    <row r="197" spans="9:14" ht="12.75" x14ac:dyDescent="0.25">
      <c r="I197" s="1"/>
      <c r="J197" s="1"/>
      <c r="K197" s="1"/>
      <c r="L197" s="1"/>
      <c r="M197" s="1"/>
      <c r="N197" s="1"/>
    </row>
    <row r="198" spans="9:14" ht="12.75" x14ac:dyDescent="0.25">
      <c r="I198" s="1"/>
      <c r="J198" s="1"/>
      <c r="K198" s="1"/>
      <c r="L198" s="1"/>
      <c r="M198" s="1"/>
      <c r="N198" s="1"/>
    </row>
    <row r="199" spans="9:14" ht="12.75" x14ac:dyDescent="0.25">
      <c r="I199" s="1"/>
      <c r="J199" s="1"/>
      <c r="K199" s="1"/>
      <c r="L199" s="1"/>
      <c r="M199" s="1"/>
      <c r="N199" s="1"/>
    </row>
    <row r="200" spans="9:14" ht="12.75" x14ac:dyDescent="0.25">
      <c r="I200" s="1"/>
      <c r="J200" s="1"/>
      <c r="K200" s="1"/>
      <c r="L200" s="1"/>
      <c r="M200" s="1"/>
      <c r="N200" s="1"/>
    </row>
    <row r="201" spans="9:14" ht="12.75" x14ac:dyDescent="0.25">
      <c r="I201" s="1"/>
      <c r="J201" s="1"/>
      <c r="K201" s="1"/>
      <c r="L201" s="1"/>
      <c r="M201" s="1"/>
      <c r="N201" s="1"/>
    </row>
    <row r="202" spans="9:14" ht="12.75" x14ac:dyDescent="0.25">
      <c r="I202" s="1"/>
      <c r="J202" s="1"/>
      <c r="K202" s="1"/>
      <c r="L202" s="1"/>
      <c r="M202" s="1"/>
      <c r="N202" s="1"/>
    </row>
    <row r="203" spans="9:14" ht="12.75" x14ac:dyDescent="0.25">
      <c r="I203" s="1"/>
      <c r="J203" s="1"/>
      <c r="K203" s="1"/>
      <c r="L203" s="1"/>
      <c r="M203" s="1"/>
      <c r="N203" s="1"/>
    </row>
    <row r="204" spans="9:14" ht="12.75" x14ac:dyDescent="0.25">
      <c r="I204" s="1"/>
      <c r="J204" s="1"/>
      <c r="K204" s="1"/>
      <c r="L204" s="1"/>
      <c r="M204" s="1"/>
      <c r="N204" s="1"/>
    </row>
    <row r="205" spans="9:14" ht="12.75" x14ac:dyDescent="0.25">
      <c r="I205" s="1"/>
      <c r="J205" s="1"/>
      <c r="K205" s="1"/>
      <c r="L205" s="1"/>
      <c r="M205" s="1"/>
      <c r="N205" s="1"/>
    </row>
    <row r="206" spans="9:14" ht="12.75" x14ac:dyDescent="0.25">
      <c r="I206" s="1"/>
      <c r="J206" s="1"/>
      <c r="K206" s="1"/>
      <c r="L206" s="1"/>
      <c r="M206" s="1"/>
      <c r="N206" s="1"/>
    </row>
    <row r="207" spans="9:14" ht="12.75" x14ac:dyDescent="0.25">
      <c r="I207" s="1"/>
      <c r="J207" s="1"/>
      <c r="K207" s="1"/>
      <c r="L207" s="1"/>
      <c r="M207" s="1"/>
      <c r="N207" s="1"/>
    </row>
    <row r="208" spans="9:14" ht="12.75" x14ac:dyDescent="0.25">
      <c r="I208" s="1"/>
      <c r="J208" s="1"/>
      <c r="K208" s="1"/>
      <c r="L208" s="1"/>
      <c r="M208" s="1"/>
      <c r="N208" s="1"/>
    </row>
    <row r="209" spans="9:14" ht="12.75" x14ac:dyDescent="0.25">
      <c r="I209" s="1"/>
      <c r="J209" s="1"/>
      <c r="K209" s="1"/>
      <c r="L209" s="1"/>
      <c r="M209" s="1"/>
      <c r="N209" s="1"/>
    </row>
    <row r="210" spans="9:14" ht="12.75" x14ac:dyDescent="0.25">
      <c r="I210" s="1"/>
      <c r="J210" s="1"/>
      <c r="K210" s="1"/>
      <c r="L210" s="1"/>
      <c r="M210" s="1"/>
      <c r="N210" s="1"/>
    </row>
    <row r="211" spans="9:14" ht="12.75" x14ac:dyDescent="0.25">
      <c r="I211" s="1"/>
      <c r="J211" s="1"/>
      <c r="K211" s="1"/>
      <c r="L211" s="1"/>
      <c r="M211" s="1"/>
      <c r="N211" s="1"/>
    </row>
    <row r="212" spans="9:14" ht="12.75" x14ac:dyDescent="0.25">
      <c r="I212" s="1"/>
      <c r="J212" s="1"/>
      <c r="K212" s="1"/>
      <c r="L212" s="1"/>
      <c r="M212" s="1"/>
      <c r="N212" s="1"/>
    </row>
    <row r="213" spans="9:14" ht="12.75" x14ac:dyDescent="0.25">
      <c r="I213" s="1"/>
      <c r="J213" s="1"/>
      <c r="K213" s="1"/>
      <c r="L213" s="1"/>
      <c r="M213" s="1"/>
      <c r="N213" s="1"/>
    </row>
    <row r="214" spans="9:14" ht="12.75" x14ac:dyDescent="0.25">
      <c r="I214" s="1"/>
      <c r="J214" s="1"/>
      <c r="K214" s="1"/>
      <c r="L214" s="1"/>
      <c r="M214" s="1"/>
      <c r="N214" s="1"/>
    </row>
    <row r="215" spans="9:14" ht="12.75" x14ac:dyDescent="0.25">
      <c r="I215" s="1"/>
      <c r="J215" s="1"/>
      <c r="K215" s="1"/>
      <c r="L215" s="1"/>
      <c r="M215" s="1"/>
      <c r="N215" s="1"/>
    </row>
    <row r="216" spans="9:14" ht="12.75" x14ac:dyDescent="0.25">
      <c r="I216" s="1"/>
      <c r="J216" s="1"/>
      <c r="K216" s="1"/>
      <c r="L216" s="1"/>
      <c r="M216" s="1"/>
      <c r="N216" s="1"/>
    </row>
    <row r="217" spans="9:14" ht="12.75" x14ac:dyDescent="0.25">
      <c r="I217" s="1"/>
      <c r="J217" s="1"/>
      <c r="K217" s="1"/>
      <c r="L217" s="1"/>
      <c r="M217" s="1"/>
      <c r="N217" s="1"/>
    </row>
    <row r="218" spans="9:14" ht="12.75" x14ac:dyDescent="0.25">
      <c r="I218" s="1"/>
      <c r="J218" s="1"/>
      <c r="K218" s="1"/>
      <c r="L218" s="1"/>
      <c r="M218" s="1"/>
      <c r="N218" s="1"/>
    </row>
    <row r="219" spans="9:14" ht="12.75" x14ac:dyDescent="0.25">
      <c r="I219" s="1"/>
      <c r="J219" s="1"/>
      <c r="K219" s="1"/>
      <c r="L219" s="1"/>
      <c r="M219" s="1"/>
      <c r="N219" s="1"/>
    </row>
    <row r="220" spans="9:14" ht="12.75" x14ac:dyDescent="0.25">
      <c r="I220" s="1"/>
      <c r="J220" s="1"/>
      <c r="K220" s="1"/>
      <c r="L220" s="1"/>
      <c r="M220" s="1"/>
      <c r="N220" s="1"/>
    </row>
    <row r="221" spans="9:14" ht="12.75" x14ac:dyDescent="0.25">
      <c r="I221" s="1"/>
      <c r="J221" s="1"/>
      <c r="K221" s="1"/>
      <c r="L221" s="1"/>
      <c r="M221" s="1"/>
      <c r="N221" s="1"/>
    </row>
    <row r="222" spans="9:14" ht="12.75" x14ac:dyDescent="0.25">
      <c r="I222" s="1"/>
      <c r="J222" s="1"/>
      <c r="K222" s="1"/>
      <c r="L222" s="1"/>
      <c r="M222" s="1"/>
      <c r="N222" s="1"/>
    </row>
    <row r="223" spans="9:14" ht="12.75" x14ac:dyDescent="0.25">
      <c r="I223" s="1"/>
      <c r="J223" s="1"/>
      <c r="K223" s="1"/>
      <c r="L223" s="1"/>
      <c r="M223" s="1"/>
      <c r="N223" s="1"/>
    </row>
    <row r="224" spans="9:14" ht="12.75" x14ac:dyDescent="0.25">
      <c r="I224" s="1"/>
      <c r="J224" s="1"/>
      <c r="K224" s="1"/>
      <c r="L224" s="1"/>
      <c r="M224" s="1"/>
      <c r="N224" s="1"/>
    </row>
    <row r="225" spans="9:14" ht="12.75" x14ac:dyDescent="0.25">
      <c r="I225" s="1"/>
      <c r="J225" s="1"/>
      <c r="K225" s="1"/>
      <c r="L225" s="1"/>
      <c r="M225" s="1"/>
      <c r="N225" s="1"/>
    </row>
    <row r="226" spans="9:14" ht="12.75" x14ac:dyDescent="0.25">
      <c r="I226" s="1"/>
      <c r="J226" s="1"/>
      <c r="K226" s="1"/>
      <c r="L226" s="1"/>
      <c r="M226" s="1"/>
      <c r="N226" s="1"/>
    </row>
    <row r="227" spans="9:14" ht="12.75" x14ac:dyDescent="0.25">
      <c r="I227" s="1"/>
      <c r="J227" s="1"/>
      <c r="K227" s="1"/>
      <c r="L227" s="1"/>
      <c r="M227" s="1"/>
      <c r="N227" s="1"/>
    </row>
    <row r="228" spans="9:14" ht="12.75" x14ac:dyDescent="0.25">
      <c r="I228" s="1"/>
      <c r="J228" s="1"/>
      <c r="K228" s="1"/>
      <c r="L228" s="1"/>
      <c r="M228" s="1"/>
      <c r="N228" s="1"/>
    </row>
    <row r="229" spans="9:14" ht="12.75" x14ac:dyDescent="0.25">
      <c r="I229" s="1"/>
      <c r="J229" s="1"/>
      <c r="K229" s="1"/>
      <c r="L229" s="1"/>
      <c r="M229" s="1"/>
      <c r="N229" s="1"/>
    </row>
    <row r="230" spans="9:14" ht="12.75" x14ac:dyDescent="0.25">
      <c r="I230" s="1"/>
      <c r="J230" s="1"/>
      <c r="K230" s="1"/>
      <c r="L230" s="1"/>
      <c r="M230" s="1"/>
      <c r="N230" s="1"/>
    </row>
    <row r="231" spans="9:14" ht="12.75" x14ac:dyDescent="0.25">
      <c r="I231" s="1"/>
      <c r="J231" s="1"/>
      <c r="K231" s="1"/>
      <c r="L231" s="1"/>
      <c r="M231" s="1"/>
      <c r="N231" s="1"/>
    </row>
  </sheetData>
  <sheetProtection selectLockedCells="1" selectUnlockedCells="1"/>
  <mergeCells count="12">
    <mergeCell ref="A65:G65"/>
    <mergeCell ref="A66:G66"/>
    <mergeCell ref="A60:G60"/>
    <mergeCell ref="A62:B62"/>
    <mergeCell ref="C62:G62"/>
    <mergeCell ref="A63:B63"/>
    <mergeCell ref="C63:G63"/>
    <mergeCell ref="A4:G4"/>
    <mergeCell ref="A5:G5"/>
    <mergeCell ref="A6:G6"/>
    <mergeCell ref="A7:G7"/>
    <mergeCell ref="A8:G8"/>
  </mergeCells>
  <phoneticPr fontId="21" type="noConversion"/>
  <pageMargins left="0.52916666666666667" right="9.5138888888888884E-2" top="0.59027777777777779" bottom="0.19652777777777777" header="0.51180555555555551" footer="0.51180555555555551"/>
  <pageSetup paperSize="9" scale="61" firstPageNumber="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1D33-85E8-47EE-8A71-3586B64F7391}">
  <sheetPr>
    <tabColor theme="4" tint="0.79998168889431442"/>
    <pageSetUpPr fitToPage="1"/>
  </sheetPr>
  <dimension ref="A1:G59"/>
  <sheetViews>
    <sheetView showGridLines="0" topLeftCell="A7" workbookViewId="0">
      <selection activeCell="F10" sqref="F10"/>
    </sheetView>
  </sheetViews>
  <sheetFormatPr defaultColWidth="9.140625" defaultRowHeight="12.75" x14ac:dyDescent="0.25"/>
  <cols>
    <col min="1" max="1" width="16" style="1" customWidth="1"/>
    <col min="2" max="2" width="49.7109375" style="1" bestFit="1" customWidth="1"/>
    <col min="3" max="3" width="22.7109375" style="1" customWidth="1"/>
    <col min="4" max="4" width="16.140625" style="1" bestFit="1" customWidth="1"/>
    <col min="5" max="5" width="60.28515625" style="1" bestFit="1" customWidth="1"/>
    <col min="6" max="6" width="22.140625" style="1" customWidth="1"/>
    <col min="7" max="16384" width="9.140625" style="1"/>
  </cols>
  <sheetData>
    <row r="1" spans="1:7" ht="18" customHeight="1" x14ac:dyDescent="0.25">
      <c r="A1" s="9"/>
      <c r="B1" s="9"/>
      <c r="C1" s="9"/>
      <c r="D1" s="9"/>
      <c r="E1" s="9"/>
      <c r="F1" s="9"/>
    </row>
    <row r="2" spans="1:7" ht="18" customHeight="1" x14ac:dyDescent="0.25">
      <c r="A2" s="9"/>
      <c r="B2" s="9"/>
      <c r="C2" s="9"/>
      <c r="D2" s="9"/>
      <c r="E2" s="9"/>
      <c r="F2" s="9"/>
    </row>
    <row r="3" spans="1:7" ht="18" customHeight="1" x14ac:dyDescent="0.25">
      <c r="A3" s="9"/>
      <c r="B3" s="9"/>
      <c r="C3" s="9"/>
      <c r="D3" s="9"/>
      <c r="E3" s="9"/>
      <c r="F3" s="9"/>
    </row>
    <row r="4" spans="1:7" ht="18" customHeight="1" x14ac:dyDescent="0.25">
      <c r="A4" s="315" t="s">
        <v>343</v>
      </c>
      <c r="B4" s="315"/>
      <c r="C4" s="315"/>
      <c r="D4" s="315"/>
      <c r="E4" s="315"/>
      <c r="F4" s="315"/>
    </row>
    <row r="5" spans="1:7" ht="18" customHeight="1" x14ac:dyDescent="0.25">
      <c r="A5" s="315" t="s">
        <v>342</v>
      </c>
      <c r="B5" s="315"/>
      <c r="C5" s="315"/>
      <c r="D5" s="315"/>
      <c r="E5" s="315"/>
      <c r="F5" s="315"/>
    </row>
    <row r="6" spans="1:7" ht="16.5" customHeight="1" x14ac:dyDescent="0.25">
      <c r="A6" s="316" t="s">
        <v>357</v>
      </c>
      <c r="B6" s="316"/>
      <c r="C6" s="316"/>
      <c r="D6" s="316"/>
      <c r="E6" s="316"/>
      <c r="F6" s="316"/>
    </row>
    <row r="7" spans="1:7" ht="16.5" customHeight="1" x14ac:dyDescent="0.25">
      <c r="A7" s="317" t="s">
        <v>660</v>
      </c>
      <c r="B7" s="317"/>
      <c r="C7" s="317"/>
      <c r="D7" s="317"/>
      <c r="E7" s="317"/>
      <c r="F7" s="317"/>
    </row>
    <row r="8" spans="1:7" ht="15.75" customHeight="1" x14ac:dyDescent="0.25">
      <c r="A8" s="317" t="str">
        <f>'Anexo II - Receitas Analíticas'!A8:G8</f>
        <v>Exercício de 2023</v>
      </c>
      <c r="B8" s="317"/>
      <c r="C8" s="317"/>
      <c r="D8" s="317"/>
      <c r="E8" s="317"/>
      <c r="F8" s="317"/>
      <c r="G8" s="8"/>
    </row>
    <row r="9" spans="1:7" s="111" customFormat="1" ht="49.5" customHeight="1" x14ac:dyDescent="0.25">
      <c r="A9" s="108" t="s">
        <v>848</v>
      </c>
      <c r="B9" s="109" t="s">
        <v>659</v>
      </c>
      <c r="C9" s="109" t="s">
        <v>1372</v>
      </c>
      <c r="D9" s="110" t="s">
        <v>658</v>
      </c>
      <c r="E9" s="109" t="s">
        <v>411</v>
      </c>
      <c r="F9" s="109" t="s">
        <v>1373</v>
      </c>
    </row>
    <row r="10" spans="1:7" ht="19.5" customHeight="1" x14ac:dyDescent="0.25">
      <c r="A10" s="260" t="s">
        <v>2</v>
      </c>
      <c r="B10" s="261" t="s">
        <v>1370</v>
      </c>
      <c r="C10" s="262">
        <f>C11+C12+C13+C14+C16+C17+C23</f>
        <v>303810000</v>
      </c>
      <c r="D10" s="263" t="s">
        <v>124</v>
      </c>
      <c r="E10" s="261" t="s">
        <v>362</v>
      </c>
      <c r="F10" s="262">
        <f>F11+F14+F25+F27+F32+F33+F35</f>
        <v>280680000</v>
      </c>
    </row>
    <row r="11" spans="1:7" ht="12.75" customHeight="1" x14ac:dyDescent="0.25">
      <c r="A11" s="44" t="s">
        <v>3</v>
      </c>
      <c r="B11" s="22" t="s">
        <v>344</v>
      </c>
      <c r="C11" s="132">
        <f>Tabela10[[#This Row],[Proposta Orçamentária 2023]]</f>
        <v>217750000</v>
      </c>
      <c r="D11" s="77" t="s">
        <v>125</v>
      </c>
      <c r="E11" s="22" t="s">
        <v>126</v>
      </c>
      <c r="F11" s="132">
        <f>SUM(F12:F13)</f>
        <v>87282000</v>
      </c>
    </row>
    <row r="12" spans="1:7" ht="12.75" customHeight="1" x14ac:dyDescent="0.25">
      <c r="A12" s="44" t="s">
        <v>32</v>
      </c>
      <c r="B12" s="22" t="s">
        <v>33</v>
      </c>
      <c r="C12" s="132">
        <f>Tabela10[[#This Row],[Proposta Orçamentária 2023]]</f>
        <v>0</v>
      </c>
      <c r="D12" s="78" t="s">
        <v>127</v>
      </c>
      <c r="E12" s="133" t="s">
        <v>832</v>
      </c>
      <c r="F12" s="134">
        <f>Tabela12[[#This Row],[Proposta Orçamentária 2023]]</f>
        <v>65757700</v>
      </c>
    </row>
    <row r="13" spans="1:7" ht="12.75" customHeight="1" x14ac:dyDescent="0.25">
      <c r="A13" s="44" t="s">
        <v>38</v>
      </c>
      <c r="B13" s="22" t="s">
        <v>39</v>
      </c>
      <c r="C13" s="132">
        <f>Tabela10[[#This Row],[Proposta Orçamentária 2023]]</f>
        <v>5000</v>
      </c>
      <c r="D13" s="78" t="s">
        <v>145</v>
      </c>
      <c r="E13" s="133" t="s">
        <v>831</v>
      </c>
      <c r="F13" s="134">
        <f>Tabela12[[#This Row],[Proposta Orçamentária 2023]]</f>
        <v>21524300</v>
      </c>
    </row>
    <row r="14" spans="1:7" ht="12.75" customHeight="1" x14ac:dyDescent="0.25">
      <c r="A14" s="44" t="s">
        <v>68</v>
      </c>
      <c r="B14" s="22" t="s">
        <v>69</v>
      </c>
      <c r="C14" s="132">
        <f>C15</f>
        <v>72000000</v>
      </c>
      <c r="D14" s="77" t="s">
        <v>151</v>
      </c>
      <c r="E14" s="22" t="s">
        <v>152</v>
      </c>
      <c r="F14" s="132">
        <f>F15+F16+F17+F21+F22+F23+F24</f>
        <v>169893000</v>
      </c>
    </row>
    <row r="15" spans="1:7" ht="12.75" customHeight="1" x14ac:dyDescent="0.25">
      <c r="A15" s="45" t="s">
        <v>72</v>
      </c>
      <c r="B15" s="133" t="s">
        <v>825</v>
      </c>
      <c r="C15" s="134">
        <f>Tabela10[[#This Row],[Proposta Orçamentária 2023]]</f>
        <v>72000000</v>
      </c>
      <c r="D15" s="78" t="s">
        <v>153</v>
      </c>
      <c r="E15" s="133" t="s">
        <v>833</v>
      </c>
      <c r="F15" s="134">
        <f>Tabela12[[#This Row],[Proposta Orçamentária 2023]]</f>
        <v>11821100</v>
      </c>
    </row>
    <row r="16" spans="1:7" ht="12.75" customHeight="1" x14ac:dyDescent="0.25">
      <c r="A16" s="44" t="s">
        <v>78</v>
      </c>
      <c r="B16" s="22" t="s">
        <v>819</v>
      </c>
      <c r="C16" s="132">
        <f>Tabela10[[#This Row],[Proposta Orçamentária 2023]]</f>
        <v>12000000</v>
      </c>
      <c r="D16" s="78" t="s">
        <v>161</v>
      </c>
      <c r="E16" s="133" t="s">
        <v>834</v>
      </c>
      <c r="F16" s="134">
        <f>Tabela12[[#This Row],[Proposta Orçamentária 2023]]</f>
        <v>2396900</v>
      </c>
    </row>
    <row r="17" spans="1:6" ht="12.75" customHeight="1" x14ac:dyDescent="0.25">
      <c r="A17" s="44" t="s">
        <v>81</v>
      </c>
      <c r="B17" s="22" t="s">
        <v>82</v>
      </c>
      <c r="C17" s="132">
        <f>SUM(C18:C21)</f>
        <v>1055000</v>
      </c>
      <c r="D17" s="77" t="s">
        <v>167</v>
      </c>
      <c r="E17" s="133" t="s">
        <v>835</v>
      </c>
      <c r="F17" s="134">
        <f>F18+F19+F20</f>
        <v>4362000</v>
      </c>
    </row>
    <row r="18" spans="1:6" ht="12.75" customHeight="1" x14ac:dyDescent="0.25">
      <c r="A18" s="45" t="s">
        <v>83</v>
      </c>
      <c r="B18" s="139" t="s">
        <v>826</v>
      </c>
      <c r="C18" s="134">
        <f>Tabela10[[#This Row],[Proposta Orçamentária 2023]]</f>
        <v>0</v>
      </c>
      <c r="D18" s="78" t="s">
        <v>169</v>
      </c>
      <c r="E18" s="71" t="s">
        <v>666</v>
      </c>
      <c r="F18" s="134">
        <f>Tabela12[[#This Row],[Proposta Orçamentária 2023]]</f>
        <v>3105000</v>
      </c>
    </row>
    <row r="19" spans="1:6" ht="12.75" customHeight="1" x14ac:dyDescent="0.25">
      <c r="A19" s="45" t="s">
        <v>86</v>
      </c>
      <c r="B19" s="138" t="s">
        <v>827</v>
      </c>
      <c r="C19" s="134">
        <f>Tabela10[[#This Row],[Proposta Orçamentária 2023]]</f>
        <v>55000</v>
      </c>
      <c r="D19" s="78" t="s">
        <v>180</v>
      </c>
      <c r="E19" s="71" t="s">
        <v>667</v>
      </c>
      <c r="F19" s="134">
        <f>Tabela12[[#This Row],[Proposta Orçamentária 2023]]</f>
        <v>24000</v>
      </c>
    </row>
    <row r="20" spans="1:6" ht="12.75" customHeight="1" x14ac:dyDescent="0.25">
      <c r="A20" s="45" t="s">
        <v>92</v>
      </c>
      <c r="B20" s="139" t="s">
        <v>828</v>
      </c>
      <c r="C20" s="134">
        <f>'Anexo III - Receitas Sintéticas'!G21</f>
        <v>0</v>
      </c>
      <c r="D20" s="78" t="s">
        <v>183</v>
      </c>
      <c r="E20" s="71" t="s">
        <v>668</v>
      </c>
      <c r="F20" s="134">
        <f>'Anexo V - Despesas Sintéticas'!G21</f>
        <v>1233000</v>
      </c>
    </row>
    <row r="21" spans="1:6" ht="12.75" customHeight="1" x14ac:dyDescent="0.25">
      <c r="A21" s="45" t="s">
        <v>96</v>
      </c>
      <c r="B21" s="138" t="s">
        <v>829</v>
      </c>
      <c r="C21" s="134">
        <f>'Anexo III - Receitas Sintéticas'!G22</f>
        <v>1000000</v>
      </c>
      <c r="D21" s="78" t="s">
        <v>184</v>
      </c>
      <c r="E21" s="133" t="s">
        <v>836</v>
      </c>
      <c r="F21" s="134">
        <f>'Anexo V - Despesas Sintéticas'!G22</f>
        <v>22848000</v>
      </c>
    </row>
    <row r="22" spans="1:6" ht="12.75" customHeight="1" x14ac:dyDescent="0.25">
      <c r="A22" s="45" t="s">
        <v>399</v>
      </c>
      <c r="B22" s="139" t="s">
        <v>830</v>
      </c>
      <c r="C22" s="134">
        <f>'Anexo III - Receitas Sintéticas'!G23</f>
        <v>0</v>
      </c>
      <c r="D22" s="78" t="s">
        <v>187</v>
      </c>
      <c r="E22" s="133" t="s">
        <v>837</v>
      </c>
      <c r="F22" s="134">
        <f>'Anexo V - Despesas Sintéticas'!G23</f>
        <v>2915000</v>
      </c>
    </row>
    <row r="23" spans="1:6" ht="12.75" customHeight="1" x14ac:dyDescent="0.25">
      <c r="A23" s="44" t="s">
        <v>121</v>
      </c>
      <c r="B23" s="137" t="s">
        <v>98</v>
      </c>
      <c r="C23" s="132">
        <f>'Anexo III - Receitas Sintéticas'!G24</f>
        <v>1000000</v>
      </c>
      <c r="D23" s="78" t="s">
        <v>196</v>
      </c>
      <c r="E23" s="133" t="s">
        <v>838</v>
      </c>
      <c r="F23" s="134">
        <f>'Anexo V - Despesas Sintéticas'!G24</f>
        <v>891000</v>
      </c>
    </row>
    <row r="24" spans="1:6" ht="15" customHeight="1" x14ac:dyDescent="0.25">
      <c r="A24" s="260" t="s">
        <v>99</v>
      </c>
      <c r="B24" s="261" t="s">
        <v>1369</v>
      </c>
      <c r="C24" s="262">
        <f>C25+C26+C27+C28+C29+C30</f>
        <v>190000</v>
      </c>
      <c r="D24" s="78" t="s">
        <v>197</v>
      </c>
      <c r="E24" s="133" t="s">
        <v>839</v>
      </c>
      <c r="F24" s="134">
        <f>'Anexo V - Despesas Sintéticas'!G25</f>
        <v>124659000</v>
      </c>
    </row>
    <row r="25" spans="1:6" ht="12.75" customHeight="1" x14ac:dyDescent="0.25">
      <c r="A25" s="44" t="s">
        <v>100</v>
      </c>
      <c r="B25" s="22" t="s">
        <v>654</v>
      </c>
      <c r="C25" s="132">
        <f>'Anexo III - Receitas Sintéticas'!G26</f>
        <v>0</v>
      </c>
      <c r="D25" s="78" t="s">
        <v>202</v>
      </c>
      <c r="E25" s="22" t="s">
        <v>239</v>
      </c>
      <c r="F25" s="132">
        <f>F26</f>
        <v>120000</v>
      </c>
    </row>
    <row r="26" spans="1:6" ht="12.75" customHeight="1" x14ac:dyDescent="0.25">
      <c r="A26" s="44" t="s">
        <v>103</v>
      </c>
      <c r="B26" s="22" t="s">
        <v>104</v>
      </c>
      <c r="C26" s="132">
        <f>'Anexo III - Receitas Sintéticas'!G28</f>
        <v>0</v>
      </c>
      <c r="D26" s="77" t="s">
        <v>238</v>
      </c>
      <c r="E26" s="133" t="s">
        <v>840</v>
      </c>
      <c r="F26" s="134">
        <f>'Anexo V - Despesas Sintéticas'!G27</f>
        <v>120000</v>
      </c>
    </row>
    <row r="27" spans="1:6" ht="12.75" customHeight="1" x14ac:dyDescent="0.25">
      <c r="A27" s="44" t="s">
        <v>111</v>
      </c>
      <c r="B27" s="22" t="s">
        <v>817</v>
      </c>
      <c r="C27" s="132">
        <f>'Anexo III - Receitas Sintéticas'!G32</f>
        <v>190000</v>
      </c>
      <c r="D27" s="78" t="s">
        <v>242</v>
      </c>
      <c r="E27" s="22" t="s">
        <v>244</v>
      </c>
      <c r="F27" s="132">
        <f>SUM(F28:F31)</f>
        <v>3370000</v>
      </c>
    </row>
    <row r="28" spans="1:6" ht="12.75" customHeight="1" x14ac:dyDescent="0.25">
      <c r="A28" s="44" t="s">
        <v>113</v>
      </c>
      <c r="B28" s="22" t="s">
        <v>114</v>
      </c>
      <c r="C28" s="132">
        <f>'Anexo III - Receitas Sintéticas'!G33</f>
        <v>0</v>
      </c>
      <c r="D28" s="77" t="s">
        <v>243</v>
      </c>
      <c r="E28" s="133" t="s">
        <v>841</v>
      </c>
      <c r="F28" s="134">
        <f>'Anexo V - Despesas Sintéticas'!G29</f>
        <v>1850000</v>
      </c>
    </row>
    <row r="29" spans="1:6" ht="12.75" customHeight="1" x14ac:dyDescent="0.25">
      <c r="A29" s="44" t="s">
        <v>118</v>
      </c>
      <c r="B29" s="22" t="s">
        <v>119</v>
      </c>
      <c r="C29" s="132">
        <f>'Anexo III - Receitas Sintéticas'!G34</f>
        <v>0</v>
      </c>
      <c r="D29" s="78" t="s">
        <v>245</v>
      </c>
      <c r="E29" s="133" t="s">
        <v>772</v>
      </c>
      <c r="F29" s="134">
        <f>'Anexo V - Despesas Sintéticas'!G30</f>
        <v>1500000</v>
      </c>
    </row>
    <row r="30" spans="1:6" ht="12.75" customHeight="1" x14ac:dyDescent="0.25">
      <c r="A30" s="44" t="s">
        <v>336</v>
      </c>
      <c r="B30" s="22" t="s">
        <v>356</v>
      </c>
      <c r="C30" s="132">
        <f>'Anexo III - Receitas Sintéticas'!G35</f>
        <v>0</v>
      </c>
      <c r="D30" s="78" t="s">
        <v>246</v>
      </c>
      <c r="E30" s="133" t="s">
        <v>843</v>
      </c>
      <c r="F30" s="134">
        <f>'Anexo V - Despesas Sintéticas'!G31</f>
        <v>0</v>
      </c>
    </row>
    <row r="31" spans="1:6" ht="12.75" customHeight="1" x14ac:dyDescent="0.25">
      <c r="A31" s="44"/>
      <c r="B31" s="22"/>
      <c r="C31" s="132"/>
      <c r="D31" s="78" t="s">
        <v>247</v>
      </c>
      <c r="E31" s="133" t="s">
        <v>844</v>
      </c>
      <c r="F31" s="134">
        <f>'Anexo V - Despesas Sintéticas'!G32</f>
        <v>20000</v>
      </c>
    </row>
    <row r="32" spans="1:6" ht="12.75" customHeight="1" x14ac:dyDescent="0.25">
      <c r="A32" s="45"/>
      <c r="B32" s="133"/>
      <c r="C32" s="134"/>
      <c r="D32" s="77" t="s">
        <v>260</v>
      </c>
      <c r="E32" s="22" t="s">
        <v>271</v>
      </c>
      <c r="F32" s="132">
        <f>'Anexo V - Despesas Sintéticas'!G44</f>
        <v>955000</v>
      </c>
    </row>
    <row r="33" spans="1:7" ht="12.75" customHeight="1" x14ac:dyDescent="0.25">
      <c r="A33" s="44"/>
      <c r="B33" s="22"/>
      <c r="C33" s="132"/>
      <c r="D33" s="77" t="s">
        <v>270</v>
      </c>
      <c r="E33" s="22" t="s">
        <v>275</v>
      </c>
      <c r="F33" s="132">
        <f>+F34</f>
        <v>18510000</v>
      </c>
    </row>
    <row r="34" spans="1:7" ht="12.75" customHeight="1" x14ac:dyDescent="0.25">
      <c r="A34" s="45"/>
      <c r="B34" s="133"/>
      <c r="C34" s="134"/>
      <c r="D34" s="77" t="s">
        <v>274</v>
      </c>
      <c r="E34" s="133" t="s">
        <v>845</v>
      </c>
      <c r="F34" s="134">
        <f>'Anexo V - Despesas Sintéticas'!G46</f>
        <v>18510000</v>
      </c>
    </row>
    <row r="35" spans="1:7" ht="12.75" customHeight="1" x14ac:dyDescent="0.25">
      <c r="A35" s="44"/>
      <c r="B35" s="22"/>
      <c r="C35" s="132"/>
      <c r="D35" s="78" t="s">
        <v>276</v>
      </c>
      <c r="E35" s="22" t="s">
        <v>280</v>
      </c>
      <c r="F35" s="132">
        <f>+F36</f>
        <v>550000</v>
      </c>
    </row>
    <row r="36" spans="1:7" ht="12.75" customHeight="1" x14ac:dyDescent="0.25">
      <c r="A36" s="44"/>
      <c r="B36" s="22"/>
      <c r="C36" s="132"/>
      <c r="D36" s="77" t="s">
        <v>279</v>
      </c>
      <c r="E36" s="133" t="s">
        <v>784</v>
      </c>
      <c r="F36" s="134">
        <f>'Anexo V - Despesas Sintéticas'!G48</f>
        <v>550000</v>
      </c>
    </row>
    <row r="37" spans="1:7" ht="19.5" customHeight="1" x14ac:dyDescent="0.25">
      <c r="A37" s="45"/>
      <c r="B37" s="133"/>
      <c r="C37" s="134"/>
      <c r="D37" s="264" t="s">
        <v>276</v>
      </c>
      <c r="E37" s="261" t="s">
        <v>363</v>
      </c>
      <c r="F37" s="262">
        <f>F38+F41+F42+F43</f>
        <v>23320000</v>
      </c>
    </row>
    <row r="38" spans="1:7" ht="12.75" customHeight="1" x14ac:dyDescent="0.25">
      <c r="A38" s="44"/>
      <c r="B38" s="22"/>
      <c r="C38" s="94"/>
      <c r="D38" s="44" t="s">
        <v>282</v>
      </c>
      <c r="E38" s="22" t="s">
        <v>284</v>
      </c>
      <c r="F38" s="132">
        <f>SUM(F39:F40)</f>
        <v>3055000</v>
      </c>
    </row>
    <row r="39" spans="1:7" ht="12.75" customHeight="1" x14ac:dyDescent="0.25">
      <c r="A39" s="45"/>
      <c r="B39" s="133"/>
      <c r="C39" s="93"/>
      <c r="D39" s="150" t="s">
        <v>285</v>
      </c>
      <c r="E39" s="133" t="s">
        <v>785</v>
      </c>
      <c r="F39" s="134">
        <f>'Anexo V - Despesas Sintéticas'!G51</f>
        <v>714000</v>
      </c>
    </row>
    <row r="40" spans="1:7" ht="12.75" customHeight="1" x14ac:dyDescent="0.25">
      <c r="A40" s="44"/>
      <c r="B40" s="22"/>
      <c r="C40" s="93"/>
      <c r="D40" s="151" t="s">
        <v>289</v>
      </c>
      <c r="E40" s="133" t="s">
        <v>846</v>
      </c>
      <c r="F40" s="134">
        <f>'Anexo V - Despesas Sintéticas'!G52</f>
        <v>2341000</v>
      </c>
    </row>
    <row r="41" spans="1:7" ht="12.75" customHeight="1" x14ac:dyDescent="0.25">
      <c r="A41" s="44"/>
      <c r="B41" s="22"/>
      <c r="C41" s="93"/>
      <c r="D41" s="152" t="s">
        <v>305</v>
      </c>
      <c r="E41" s="22" t="s">
        <v>306</v>
      </c>
      <c r="F41" s="132">
        <f>'Anexo V - Despesas Sintéticas'!G54</f>
        <v>0</v>
      </c>
    </row>
    <row r="42" spans="1:7" ht="12.75" customHeight="1" x14ac:dyDescent="0.25">
      <c r="A42" s="45"/>
      <c r="B42" s="133"/>
      <c r="C42" s="93"/>
      <c r="D42" s="153" t="s">
        <v>316</v>
      </c>
      <c r="E42" s="22" t="s">
        <v>317</v>
      </c>
      <c r="F42" s="132">
        <f>'Anexo V - Despesas Sintéticas'!G55</f>
        <v>0</v>
      </c>
    </row>
    <row r="43" spans="1:7" ht="12.75" customHeight="1" x14ac:dyDescent="0.25">
      <c r="A43" s="44"/>
      <c r="B43" s="22"/>
      <c r="C43" s="93"/>
      <c r="D43" s="152" t="s">
        <v>326</v>
      </c>
      <c r="E43" s="22" t="s">
        <v>327</v>
      </c>
      <c r="F43" s="132">
        <f>'Anexo V - Despesas Sintéticas'!G56</f>
        <v>20265000</v>
      </c>
    </row>
    <row r="44" spans="1:7" ht="12.75" customHeight="1" thickBot="1" x14ac:dyDescent="0.3">
      <c r="A44" s="45"/>
      <c r="B44" s="133"/>
      <c r="C44" s="134"/>
      <c r="D44" s="78" t="s">
        <v>328</v>
      </c>
      <c r="E44" s="133" t="s">
        <v>847</v>
      </c>
      <c r="F44" s="134">
        <f>'Anexo V - Despesas Sintéticas'!G57</f>
        <v>20265000</v>
      </c>
    </row>
    <row r="45" spans="1:7" ht="19.5" customHeight="1" x14ac:dyDescent="0.25">
      <c r="A45" s="135"/>
      <c r="B45" s="135" t="s">
        <v>355</v>
      </c>
      <c r="C45" s="259">
        <f>C10+C24</f>
        <v>304000000</v>
      </c>
      <c r="D45" s="136"/>
      <c r="E45" s="135" t="s">
        <v>355</v>
      </c>
      <c r="F45" s="140">
        <f>F10+F37</f>
        <v>304000000</v>
      </c>
    </row>
    <row r="46" spans="1:7" s="5" customFormat="1" x14ac:dyDescent="0.25">
      <c r="A46" s="64" t="str">
        <f>'Anexo II - Receitas Analíticas'!A90</f>
        <v>Decisão Plenária nº PL-</v>
      </c>
      <c r="B46" s="21"/>
      <c r="C46" s="10"/>
      <c r="D46" s="10"/>
      <c r="E46" s="10"/>
      <c r="F46" s="65"/>
      <c r="G46" s="6"/>
    </row>
    <row r="47" spans="1:7" x14ac:dyDescent="0.25">
      <c r="A47" s="13"/>
      <c r="B47" s="142" t="s">
        <v>821</v>
      </c>
      <c r="C47" s="143" t="s">
        <v>820</v>
      </c>
      <c r="D47" s="144" t="s">
        <v>492</v>
      </c>
    </row>
    <row r="48" spans="1:7" ht="14.25" customHeight="1" x14ac:dyDescent="0.25">
      <c r="A48" s="13"/>
      <c r="B48" s="145" t="s">
        <v>823</v>
      </c>
      <c r="C48" s="146">
        <f>C10</f>
        <v>303810000</v>
      </c>
      <c r="D48" s="147">
        <f>F10</f>
        <v>280680000</v>
      </c>
    </row>
    <row r="49" spans="1:6" ht="14.25" customHeight="1" x14ac:dyDescent="0.25">
      <c r="A49" s="13"/>
      <c r="B49" s="145" t="s">
        <v>824</v>
      </c>
      <c r="C49" s="146">
        <f>C24</f>
        <v>190000</v>
      </c>
      <c r="D49" s="147">
        <f>F37</f>
        <v>23320000</v>
      </c>
    </row>
    <row r="50" spans="1:6" ht="14.25" customHeight="1" x14ac:dyDescent="0.25">
      <c r="A50" s="13"/>
      <c r="B50" s="149" t="s">
        <v>822</v>
      </c>
      <c r="C50" s="148">
        <f>SUM(C48:C49)</f>
        <v>304000000</v>
      </c>
      <c r="D50" s="141">
        <f>SUM(D48:D49)</f>
        <v>304000000</v>
      </c>
    </row>
    <row r="51" spans="1:6" ht="15.75" customHeight="1" x14ac:dyDescent="0.25">
      <c r="A51" s="13"/>
    </row>
    <row r="52" spans="1:6" x14ac:dyDescent="0.25">
      <c r="A52" s="314" t="str">
        <f>'Anexo II - Receitas Analíticas'!A91:G91</f>
        <v>Brasília-DF, Dezembro de 2022</v>
      </c>
      <c r="B52" s="314"/>
      <c r="C52" s="314"/>
      <c r="D52" s="314"/>
      <c r="E52" s="314"/>
      <c r="F52" s="314"/>
    </row>
    <row r="53" spans="1:6" ht="31.5" customHeight="1" x14ac:dyDescent="0.25">
      <c r="B53" s="4"/>
      <c r="D53" s="3"/>
      <c r="F53" s="2"/>
    </row>
    <row r="54" spans="1:6" ht="15" customHeight="1" x14ac:dyDescent="0.25">
      <c r="A54" s="319" t="str">
        <f>'Anexo II - Receitas Analíticas'!A93:B93</f>
        <v>Júlio César Gonçalves de Miranda</v>
      </c>
      <c r="B54" s="319"/>
      <c r="C54" s="319"/>
      <c r="D54" s="320" t="s">
        <v>371</v>
      </c>
      <c r="E54" s="320"/>
      <c r="F54" s="320"/>
    </row>
    <row r="55" spans="1:6" ht="15" customHeight="1" x14ac:dyDescent="0.25">
      <c r="A55" s="314" t="str">
        <f>'Anexo II - Receitas Analíticas'!A94:B94</f>
        <v>Gerente de Orçamento e Contabilidade</v>
      </c>
      <c r="B55" s="314"/>
      <c r="C55" s="314"/>
      <c r="D55" s="314" t="s">
        <v>334</v>
      </c>
      <c r="E55" s="314"/>
      <c r="F55" s="314"/>
    </row>
    <row r="56" spans="1:6" ht="30" customHeight="1" x14ac:dyDescent="0.25">
      <c r="B56" s="4"/>
      <c r="D56" s="3"/>
      <c r="F56" s="2"/>
    </row>
    <row r="57" spans="1:6" x14ac:dyDescent="0.25">
      <c r="A57" s="319" t="str">
        <f>'Anexo II - Receitas Analíticas'!A96:G96</f>
        <v>Eng. Civ. Joel Krüger</v>
      </c>
      <c r="B57" s="319"/>
      <c r="C57" s="319"/>
      <c r="D57" s="319"/>
      <c r="E57" s="319"/>
      <c r="F57" s="319"/>
    </row>
    <row r="58" spans="1:6" x14ac:dyDescent="0.25">
      <c r="A58" s="318" t="str">
        <f>'Anexo II - Receitas Analíticas'!A97:G97</f>
        <v>Presidente do Confea</v>
      </c>
      <c r="B58" s="318"/>
      <c r="C58" s="318"/>
      <c r="D58" s="318"/>
      <c r="E58" s="318"/>
      <c r="F58" s="318"/>
    </row>
    <row r="59" spans="1:6" x14ac:dyDescent="0.25">
      <c r="A59" s="13"/>
      <c r="B59" s="13"/>
      <c r="C59" s="13"/>
      <c r="D59" s="13"/>
      <c r="E59" s="13"/>
      <c r="F59" s="13"/>
    </row>
  </sheetData>
  <sheetProtection selectLockedCells="1" selectUnlockedCells="1"/>
  <mergeCells count="12">
    <mergeCell ref="A55:C55"/>
    <mergeCell ref="A57:F57"/>
    <mergeCell ref="A58:F58"/>
    <mergeCell ref="D54:F54"/>
    <mergeCell ref="D55:F55"/>
    <mergeCell ref="A54:C54"/>
    <mergeCell ref="A52:F52"/>
    <mergeCell ref="A4:F4"/>
    <mergeCell ref="A5:F5"/>
    <mergeCell ref="A6:F6"/>
    <mergeCell ref="A7:F7"/>
    <mergeCell ref="A8:F8"/>
  </mergeCells>
  <printOptions horizontalCentered="1"/>
  <pageMargins left="0.15763888888888888" right="0.11805555555555555" top="0.31527777777777777" bottom="0.19652777777777777" header="0.51180555555555551" footer="0.51180555555555551"/>
  <pageSetup paperSize="9" scale="60" firstPageNumber="0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Dados</vt:lpstr>
      <vt:lpstr>Anexo II - Receitas Analíticas</vt:lpstr>
      <vt:lpstr>Anexo III - Receitas Sintéticas</vt:lpstr>
      <vt:lpstr>Anexo IV - Despesas Analíticas</vt:lpstr>
      <vt:lpstr>Anexo V - Despesas Sintéticas</vt:lpstr>
      <vt:lpstr>Anexo VI - Rec Desp Sintéticas</vt:lpstr>
      <vt:lpstr>'Anexo II - Receitas Analíticas'!Area_de_impressao</vt:lpstr>
      <vt:lpstr>'Anexo VI - Rec Desp Sintéticas'!Area_de_impressao</vt:lpstr>
      <vt:lpstr>Excel_BuiltIn_Print_Area_2_1</vt:lpstr>
      <vt:lpstr>'Anexo VI - Rec Desp Sintéticas'!Excel_BuiltIn_Print_Area_6_1</vt:lpstr>
      <vt:lpstr>'Anexo IV - Despesas Analíticas'!Excel_BuiltIn_Print_Titles_4_1</vt:lpstr>
      <vt:lpstr>'Anexo II - Receitas Analíticas'!Titulos_de_impressao</vt:lpstr>
      <vt:lpstr>'Anexo IV - Despesas Analíticas'!Titulos_de_impressao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</dc:creator>
  <cp:lastModifiedBy>Júlio Cesar G. de Miranda</cp:lastModifiedBy>
  <cp:lastPrinted>2022-11-08T15:26:41Z</cp:lastPrinted>
  <dcterms:created xsi:type="dcterms:W3CDTF">2016-09-08T00:32:14Z</dcterms:created>
  <dcterms:modified xsi:type="dcterms:W3CDTF">2022-12-06T12:27:34Z</dcterms:modified>
</cp:coreProperties>
</file>